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imin\Downloads\Telegram Desktop\"/>
    </mc:Choice>
  </mc:AlternateContent>
  <xr:revisionPtr revIDLastSave="0" documentId="13_ncr:1_{DF4F3BE3-C71C-4B0E-A70D-6650930D3AE7}" xr6:coauthVersionLast="47" xr6:coauthVersionMax="47" xr10:uidLastSave="{00000000-0000-0000-0000-000000000000}"/>
  <bookViews>
    <workbookView xWindow="-110" yWindow="-110" windowWidth="19420" windowHeight="10300" tabRatio="651" xr2:uid="{00000000-000D-0000-FFFF-FFFF00000000}"/>
  </bookViews>
  <sheets>
    <sheet name="INDEX FOR ALL SHEETS" sheetId="15" r:id="rId1"/>
    <sheet name="Excel Formula" sheetId="1" r:id="rId2"/>
    <sheet name="COMPARTMENT" sheetId="2" r:id="rId3"/>
    <sheet name="AVERAGE FORMULA" sheetId="3" r:id="rId4"/>
    <sheet name="FORCAST &amp; INDEX" sheetId="4" r:id="rId5"/>
    <sheet name="DATA BASE FUNCTION'S" sheetId="5" r:id="rId6"/>
    <sheet name="EMI FORMULA" sheetId="6" r:id="rId7"/>
    <sheet name="LOOKUP &amp; MATCH FORMULA'S" sheetId="7" r:id="rId8"/>
    <sheet name="VLOOKUP &amp; MATCH MIX" sheetId="8" r:id="rId9"/>
    <sheet name="INCENTIVE" sheetId="10" r:id="rId10"/>
    <sheet name="SEARCH FORMULA IF &amp; VLOOKUP" sheetId="11" r:id="rId11"/>
    <sheet name="AGE COUNT FORMULA" sheetId="12" r:id="rId12"/>
    <sheet name="ATTENDANCE SHEET &amp; SALARY SHEET" sheetId="13" r:id="rId13"/>
    <sheet name="SALARY SLIP" sheetId="20" r:id="rId14"/>
    <sheet name="ELECTRICITY BILL" sheetId="14" r:id="rId15"/>
    <sheet name="XLOOKUP AND USE" sheetId="16" r:id="rId16"/>
    <sheet name="FWC" sheetId="17" r:id="rId17"/>
    <sheet name="CELL STYLES" sheetId="18" r:id="rId18"/>
  </sheets>
  <externalReferences>
    <externalReference r:id="rId19"/>
  </externalReferences>
  <definedNames>
    <definedName name="_xlnm._FilterDatabase" localSheetId="12" hidden="1">'ATTENDANCE SHEET &amp; SALARY SHEET'!$A$8:$AL$28</definedName>
    <definedName name="_xlnm._FilterDatabase" localSheetId="5" hidden="1">'DATA BASE FUNCTION''S'!$D$8:$I$8</definedName>
    <definedName name="_xlnm._FilterDatabase" localSheetId="10" hidden="1">'SEARCH FORMULA IF &amp; VLOOKUP'!$D$5:$F$5</definedName>
    <definedName name="DATA">'ATTENDANCE SHEET &amp; SALARY SHEET'!$AN$8:$AY$28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1" l="1"/>
  <c r="AY9" i="13"/>
  <c r="AX9" i="13"/>
  <c r="AV9" i="13"/>
  <c r="AS9" i="13"/>
  <c r="C277" i="1"/>
  <c r="B271" i="1"/>
  <c r="C259" i="1"/>
  <c r="C256" i="1"/>
  <c r="C253" i="1"/>
  <c r="D51" i="8" a="1"/>
  <c r="D51" i="8" s="1"/>
  <c r="D52" i="8" a="1"/>
  <c r="G52" i="8" s="1"/>
  <c r="D53" i="8" a="1"/>
  <c r="J53" i="8" s="1"/>
  <c r="D54" i="8" a="1"/>
  <c r="E54" i="8" s="1"/>
  <c r="D55" i="8" a="1"/>
  <c r="H55" i="8" s="1"/>
  <c r="D50" i="8" a="1"/>
  <c r="D50" i="8" s="1"/>
  <c r="I10" i="16"/>
  <c r="J113" i="16" a="1"/>
  <c r="J113" i="16" s="1"/>
  <c r="L95" i="16" a="1"/>
  <c r="L95" i="16" s="1"/>
  <c r="I78" i="16"/>
  <c r="J64" i="16" a="1"/>
  <c r="J64" i="16" s="1"/>
  <c r="J61" i="16" a="1"/>
  <c r="J61" i="16" s="1"/>
  <c r="J44" i="16" a="1"/>
  <c r="J44" i="16" s="1"/>
  <c r="I28" i="16"/>
  <c r="R9" i="14"/>
  <c r="Q9" i="14"/>
  <c r="O10" i="14"/>
  <c r="L9" i="14"/>
  <c r="H51" i="8" l="1"/>
  <c r="H54" i="8"/>
  <c r="M53" i="8"/>
  <c r="E53" i="8"/>
  <c r="J52" i="8"/>
  <c r="O51" i="8"/>
  <c r="G51" i="8"/>
  <c r="M52" i="8"/>
  <c r="E52" i="8"/>
  <c r="J51" i="8"/>
  <c r="M55" i="8"/>
  <c r="E55" i="8"/>
  <c r="O53" i="8"/>
  <c r="L52" i="8"/>
  <c r="I51" i="8"/>
  <c r="D55" i="8"/>
  <c r="I54" i="8"/>
  <c r="F53" i="8"/>
  <c r="K52" i="8"/>
  <c r="K55" i="8"/>
  <c r="J55" i="8"/>
  <c r="O54" i="8"/>
  <c r="G54" i="8"/>
  <c r="L53" i="8"/>
  <c r="D53" i="8"/>
  <c r="I52" i="8"/>
  <c r="N51" i="8"/>
  <c r="F51" i="8"/>
  <c r="H52" i="8"/>
  <c r="M51" i="8"/>
  <c r="E51" i="8"/>
  <c r="O55" i="8"/>
  <c r="G55" i="8"/>
  <c r="L54" i="8"/>
  <c r="D54" i="8"/>
  <c r="I53" i="8"/>
  <c r="N52" i="8"/>
  <c r="F52" i="8"/>
  <c r="K51" i="8"/>
  <c r="N55" i="8"/>
  <c r="F55" i="8"/>
  <c r="K54" i="8"/>
  <c r="H53" i="8"/>
  <c r="J54" i="8"/>
  <c r="G53" i="8"/>
  <c r="D52" i="8"/>
  <c r="L55" i="8"/>
  <c r="N53" i="8"/>
  <c r="I55" i="8"/>
  <c r="N54" i="8"/>
  <c r="F54" i="8"/>
  <c r="K53" i="8"/>
  <c r="M54" i="8"/>
  <c r="O52" i="8"/>
  <c r="L51" i="8"/>
  <c r="F50" i="8"/>
  <c r="K50" i="8"/>
  <c r="I50" i="8"/>
  <c r="G50" i="8"/>
  <c r="N50" i="8"/>
  <c r="M50" i="8"/>
  <c r="E50" i="8"/>
  <c r="J50" i="8"/>
  <c r="H50" i="8"/>
  <c r="O50" i="8"/>
  <c r="L50" i="8"/>
  <c r="H10" i="20"/>
  <c r="H14" i="20"/>
  <c r="H12" i="20"/>
  <c r="I8" i="20"/>
  <c r="D8" i="20"/>
  <c r="AS10" i="13"/>
  <c r="AS11" i="13"/>
  <c r="AS12" i="13"/>
  <c r="AS13" i="13"/>
  <c r="AS14" i="13"/>
  <c r="AS15" i="13"/>
  <c r="AS16" i="13"/>
  <c r="AS17" i="13"/>
  <c r="AS18" i="13"/>
  <c r="AS19" i="13"/>
  <c r="AS20" i="13"/>
  <c r="AS21" i="13"/>
  <c r="AS22" i="13"/>
  <c r="AS23" i="13"/>
  <c r="AS24" i="13"/>
  <c r="AS25" i="13"/>
  <c r="AS27" i="13"/>
  <c r="AS28" i="13"/>
  <c r="I17" i="20" l="1"/>
  <c r="D17" i="20"/>
  <c r="I18" i="20"/>
  <c r="I19" i="20"/>
  <c r="F10" i="10"/>
  <c r="H20" i="20" l="1"/>
  <c r="G10" i="10"/>
  <c r="G22" i="10"/>
  <c r="F16" i="10"/>
  <c r="G16" i="10" s="1"/>
  <c r="F18" i="10"/>
  <c r="G18" i="10" s="1"/>
  <c r="F11" i="10"/>
  <c r="G11" i="10" s="1"/>
  <c r="F12" i="10"/>
  <c r="G12" i="10" s="1"/>
  <c r="F13" i="10"/>
  <c r="G13" i="10" s="1"/>
  <c r="F14" i="10"/>
  <c r="G14" i="10" s="1"/>
  <c r="F15" i="10"/>
  <c r="G15" i="10" s="1"/>
  <c r="F17" i="10"/>
  <c r="G17" i="10" s="1"/>
  <c r="F19" i="10"/>
  <c r="G19" i="10" s="1"/>
  <c r="F20" i="10"/>
  <c r="G20" i="10" s="1"/>
  <c r="F21" i="10"/>
  <c r="G21" i="10" s="1"/>
  <c r="F22" i="10"/>
  <c r="J179" i="1" l="1"/>
  <c r="J175" i="1"/>
  <c r="F17" i="6" l="1"/>
  <c r="F15" i="6"/>
  <c r="C24" i="6" s="1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11" i="17"/>
  <c r="G181" i="1"/>
  <c r="H178" i="1"/>
  <c r="G175" i="1"/>
  <c r="G178" i="1"/>
  <c r="C154" i="1"/>
  <c r="O9" i="14"/>
  <c r="Q10" i="14"/>
  <c r="Q11" i="14"/>
  <c r="Q12" i="14"/>
  <c r="Q13" i="14"/>
  <c r="Q14" i="14"/>
  <c r="Q15" i="14"/>
  <c r="Q16" i="14"/>
  <c r="K9" i="14"/>
  <c r="P9" i="14" s="1"/>
  <c r="M67" i="16" a="1"/>
  <c r="C22" i="6" l="1"/>
  <c r="M67" i="16"/>
  <c r="D299" i="1"/>
  <c r="D300" i="1"/>
  <c r="D301" i="1"/>
  <c r="D302" i="1"/>
  <c r="D303" i="1"/>
  <c r="D304" i="1"/>
  <c r="D305" i="1"/>
  <c r="D298" i="1"/>
  <c r="C287" i="1"/>
  <c r="C278" i="1"/>
  <c r="C279" i="1"/>
  <c r="C280" i="1"/>
  <c r="C281" i="1"/>
  <c r="C282" i="1"/>
  <c r="C283" i="1"/>
  <c r="C284" i="1"/>
  <c r="N67" i="16" a="1"/>
  <c r="D311" i="1" a="1"/>
  <c r="C311" i="1" a="1"/>
  <c r="B311" i="1" a="1"/>
  <c r="N67" i="16" l="1"/>
  <c r="D311" i="1"/>
  <c r="D315" i="1"/>
  <c r="D319" i="1"/>
  <c r="D323" i="1"/>
  <c r="D312" i="1"/>
  <c r="D316" i="1"/>
  <c r="D320" i="1"/>
  <c r="D313" i="1"/>
  <c r="D317" i="1"/>
  <c r="D321" i="1"/>
  <c r="D314" i="1"/>
  <c r="D318" i="1"/>
  <c r="D322" i="1"/>
  <c r="C311" i="1"/>
  <c r="C315" i="1"/>
  <c r="C319" i="1"/>
  <c r="C312" i="1"/>
  <c r="C316" i="1"/>
  <c r="C320" i="1"/>
  <c r="C313" i="1"/>
  <c r="C317" i="1"/>
  <c r="C321" i="1"/>
  <c r="C314" i="1"/>
  <c r="C318" i="1"/>
  <c r="C322" i="1"/>
  <c r="B314" i="1"/>
  <c r="B318" i="1"/>
  <c r="B322" i="1"/>
  <c r="B311" i="1"/>
  <c r="B315" i="1"/>
  <c r="B319" i="1"/>
  <c r="B323" i="1"/>
  <c r="B312" i="1"/>
  <c r="B316" i="1"/>
  <c r="B320" i="1"/>
  <c r="B324" i="1"/>
  <c r="B313" i="1"/>
  <c r="B317" i="1"/>
  <c r="B321" i="1"/>
  <c r="G10" i="12"/>
  <c r="O67" i="16" a="1"/>
  <c r="O67" i="16" l="1"/>
  <c r="O11" i="14"/>
  <c r="O12" i="14"/>
  <c r="O13" i="14"/>
  <c r="O14" i="14"/>
  <c r="O15" i="14"/>
  <c r="O16" i="14"/>
  <c r="P67" i="16" a="1"/>
  <c r="P67" i="16" l="1"/>
  <c r="B26" i="1"/>
  <c r="I11" i="12" l="1"/>
  <c r="I12" i="12"/>
  <c r="I13" i="12"/>
  <c r="I14" i="12"/>
  <c r="I15" i="12"/>
  <c r="I16" i="12"/>
  <c r="I17" i="12"/>
  <c r="I10" i="12"/>
  <c r="H11" i="12"/>
  <c r="H12" i="12"/>
  <c r="H13" i="12"/>
  <c r="H14" i="12"/>
  <c r="H15" i="12"/>
  <c r="H16" i="12"/>
  <c r="H17" i="12"/>
  <c r="H10" i="12"/>
  <c r="L28" i="2" l="1"/>
  <c r="M28" i="2" s="1"/>
  <c r="L10" i="2"/>
  <c r="M10" i="2" s="1"/>
  <c r="L11" i="2"/>
  <c r="M11" i="2" s="1"/>
  <c r="L12" i="2"/>
  <c r="L13" i="2"/>
  <c r="L14" i="2"/>
  <c r="M14" i="2" s="1"/>
  <c r="L15" i="2"/>
  <c r="M15" i="2" s="1"/>
  <c r="L16" i="2"/>
  <c r="L17" i="2"/>
  <c r="L18" i="2"/>
  <c r="M18" i="2" s="1"/>
  <c r="L19" i="2"/>
  <c r="M19" i="2" s="1"/>
  <c r="L20" i="2"/>
  <c r="L21" i="2"/>
  <c r="L22" i="2"/>
  <c r="M22" i="2" s="1"/>
  <c r="L23" i="2"/>
  <c r="M23" i="2" s="1"/>
  <c r="L24" i="2"/>
  <c r="L25" i="2"/>
  <c r="L26" i="2"/>
  <c r="M26" i="2" s="1"/>
  <c r="L27" i="2"/>
  <c r="M27" i="2" s="1"/>
  <c r="L9" i="2"/>
  <c r="M9" i="2" s="1"/>
  <c r="K10" i="14"/>
  <c r="C266" i="1"/>
  <c r="B267" i="1" s="1"/>
  <c r="C262" i="1"/>
  <c r="B263" i="1" s="1"/>
  <c r="AW10" i="13"/>
  <c r="AW11" i="13"/>
  <c r="AW12" i="13"/>
  <c r="AW13" i="13"/>
  <c r="AW14" i="13"/>
  <c r="AW15" i="13"/>
  <c r="AW16" i="13"/>
  <c r="AW17" i="13"/>
  <c r="AW18" i="13"/>
  <c r="AW19" i="13"/>
  <c r="AW20" i="13"/>
  <c r="AW21" i="13"/>
  <c r="AW22" i="13"/>
  <c r="AW23" i="13"/>
  <c r="AW24" i="13"/>
  <c r="AW25" i="13"/>
  <c r="AW26" i="13"/>
  <c r="AW27" i="13"/>
  <c r="AW28" i="13"/>
  <c r="AW9" i="13"/>
  <c r="AU10" i="13"/>
  <c r="AU11" i="13"/>
  <c r="AU12" i="13"/>
  <c r="AU13" i="13"/>
  <c r="AU14" i="13"/>
  <c r="AU15" i="13"/>
  <c r="AU16" i="13"/>
  <c r="AU17" i="13"/>
  <c r="AU18" i="13"/>
  <c r="AU19" i="13"/>
  <c r="AU20" i="13"/>
  <c r="AU21" i="13"/>
  <c r="AU22" i="13"/>
  <c r="AU23" i="13"/>
  <c r="AU24" i="13"/>
  <c r="AU25" i="13"/>
  <c r="AU26" i="13"/>
  <c r="AU27" i="13"/>
  <c r="AU28" i="13"/>
  <c r="AU9" i="13"/>
  <c r="AQ12" i="13"/>
  <c r="AQ13" i="13"/>
  <c r="AQ14" i="13"/>
  <c r="AQ15" i="13"/>
  <c r="AQ16" i="13"/>
  <c r="AQ17" i="13"/>
  <c r="AQ18" i="13"/>
  <c r="AQ19" i="13"/>
  <c r="AQ20" i="13"/>
  <c r="AQ21" i="13"/>
  <c r="AQ22" i="13"/>
  <c r="AQ23" i="13"/>
  <c r="AQ24" i="13"/>
  <c r="AQ25" i="13"/>
  <c r="AQ26" i="13"/>
  <c r="D13" i="20" s="1"/>
  <c r="AQ27" i="13"/>
  <c r="AQ28" i="13"/>
  <c r="AQ11" i="13"/>
  <c r="AQ10" i="13"/>
  <c r="AQ9" i="13"/>
  <c r="AP9" i="13"/>
  <c r="AP17" i="13"/>
  <c r="AP18" i="13"/>
  <c r="AP19" i="13"/>
  <c r="AP20" i="13"/>
  <c r="AP21" i="13"/>
  <c r="AP22" i="13"/>
  <c r="AP23" i="13"/>
  <c r="AP24" i="13"/>
  <c r="AP25" i="13"/>
  <c r="AP26" i="13"/>
  <c r="AP27" i="13"/>
  <c r="AP28" i="13"/>
  <c r="AP12" i="13"/>
  <c r="AP13" i="13"/>
  <c r="AP14" i="13"/>
  <c r="AP15" i="13"/>
  <c r="AP16" i="13"/>
  <c r="AP11" i="13"/>
  <c r="AP10" i="13"/>
  <c r="K11" i="14"/>
  <c r="K12" i="14"/>
  <c r="K13" i="14"/>
  <c r="K14" i="14"/>
  <c r="K15" i="14"/>
  <c r="K16" i="14"/>
  <c r="F2" i="13"/>
  <c r="I2" i="13" s="1"/>
  <c r="AR13" i="13" s="1"/>
  <c r="AV13" i="13" s="1"/>
  <c r="G11" i="12"/>
  <c r="G12" i="12"/>
  <c r="G13" i="12"/>
  <c r="G14" i="12"/>
  <c r="G15" i="12"/>
  <c r="G16" i="12"/>
  <c r="G17" i="12"/>
  <c r="C250" i="1"/>
  <c r="C247" i="1"/>
  <c r="C244" i="1"/>
  <c r="C243" i="1"/>
  <c r="H181" i="1"/>
  <c r="N14" i="8"/>
  <c r="O14" i="8" s="1"/>
  <c r="N15" i="8"/>
  <c r="O15" i="8" s="1"/>
  <c r="O41" i="8" s="1"/>
  <c r="N16" i="8"/>
  <c r="O16" i="8" s="1"/>
  <c r="O40" i="8" s="1"/>
  <c r="N17" i="8"/>
  <c r="O17" i="8" s="1"/>
  <c r="N18" i="8"/>
  <c r="O18" i="8" s="1"/>
  <c r="N19" i="8"/>
  <c r="O19" i="8" s="1"/>
  <c r="N20" i="8"/>
  <c r="O20" i="8" s="1"/>
  <c r="N21" i="8"/>
  <c r="O21" i="8" s="1"/>
  <c r="N22" i="8"/>
  <c r="O22" i="8" s="1"/>
  <c r="O42" i="8" s="1"/>
  <c r="N23" i="8"/>
  <c r="N44" i="8" s="1"/>
  <c r="N24" i="8"/>
  <c r="O24" i="8" s="1"/>
  <c r="N25" i="8"/>
  <c r="O25" i="8" s="1"/>
  <c r="N26" i="8"/>
  <c r="O26" i="8" s="1"/>
  <c r="O45" i="8" s="1"/>
  <c r="N27" i="8"/>
  <c r="O27" i="8" s="1"/>
  <c r="N28" i="8"/>
  <c r="O28" i="8" s="1"/>
  <c r="N29" i="8"/>
  <c r="O29" i="8" s="1"/>
  <c r="O43" i="8" s="1"/>
  <c r="N30" i="8"/>
  <c r="O30" i="8" s="1"/>
  <c r="N31" i="8"/>
  <c r="O31" i="8" s="1"/>
  <c r="N32" i="8"/>
  <c r="O32" i="8" s="1"/>
  <c r="N13" i="8"/>
  <c r="O13" i="8" s="1"/>
  <c r="D40" i="8"/>
  <c r="E40" i="8"/>
  <c r="F40" i="8"/>
  <c r="G40" i="8"/>
  <c r="H40" i="8"/>
  <c r="I40" i="8"/>
  <c r="D41" i="8"/>
  <c r="E41" i="8"/>
  <c r="F41" i="8"/>
  <c r="G41" i="8"/>
  <c r="H41" i="8"/>
  <c r="I41" i="8"/>
  <c r="D42" i="8"/>
  <c r="E42" i="8"/>
  <c r="F42" i="8"/>
  <c r="G42" i="8"/>
  <c r="H42" i="8"/>
  <c r="I42" i="8"/>
  <c r="D43" i="8"/>
  <c r="E43" i="8"/>
  <c r="F43" i="8"/>
  <c r="G43" i="8"/>
  <c r="H43" i="8"/>
  <c r="I43" i="8"/>
  <c r="D44" i="8"/>
  <c r="E44" i="8"/>
  <c r="F44" i="8"/>
  <c r="G44" i="8"/>
  <c r="H44" i="8"/>
  <c r="I44" i="8"/>
  <c r="D45" i="8"/>
  <c r="E45" i="8"/>
  <c r="F45" i="8"/>
  <c r="G45" i="8"/>
  <c r="H45" i="8"/>
  <c r="I45" i="8"/>
  <c r="M32" i="8"/>
  <c r="J32" i="8"/>
  <c r="K32" i="8" s="1"/>
  <c r="M31" i="8"/>
  <c r="J31" i="8"/>
  <c r="L31" i="8" s="1"/>
  <c r="M30" i="8"/>
  <c r="J30" i="8"/>
  <c r="L30" i="8" s="1"/>
  <c r="M29" i="8"/>
  <c r="M43" i="8" s="1"/>
  <c r="J29" i="8"/>
  <c r="L29" i="8" s="1"/>
  <c r="L43" i="8" s="1"/>
  <c r="M28" i="8"/>
  <c r="L28" i="8"/>
  <c r="J28" i="8"/>
  <c r="K28" i="8" s="1"/>
  <c r="M27" i="8"/>
  <c r="J27" i="8"/>
  <c r="L27" i="8" s="1"/>
  <c r="M26" i="8"/>
  <c r="M45" i="8" s="1"/>
  <c r="J26" i="8"/>
  <c r="L26" i="8" s="1"/>
  <c r="L45" i="8" s="1"/>
  <c r="M25" i="8"/>
  <c r="J25" i="8"/>
  <c r="L25" i="8" s="1"/>
  <c r="M24" i="8"/>
  <c r="J24" i="8"/>
  <c r="L24" i="8" s="1"/>
  <c r="M23" i="8"/>
  <c r="M44" i="8" s="1"/>
  <c r="J23" i="8"/>
  <c r="L23" i="8" s="1"/>
  <c r="L44" i="8" s="1"/>
  <c r="M22" i="8"/>
  <c r="M42" i="8" s="1"/>
  <c r="J22" i="8"/>
  <c r="L22" i="8" s="1"/>
  <c r="L42" i="8" s="1"/>
  <c r="M21" i="8"/>
  <c r="J21" i="8"/>
  <c r="K21" i="8" s="1"/>
  <c r="M20" i="8"/>
  <c r="J20" i="8"/>
  <c r="K20" i="8" s="1"/>
  <c r="M19" i="8"/>
  <c r="J19" i="8"/>
  <c r="L19" i="8" s="1"/>
  <c r="M18" i="8"/>
  <c r="J18" i="8"/>
  <c r="L18" i="8" s="1"/>
  <c r="M17" i="8"/>
  <c r="J17" i="8"/>
  <c r="K17" i="8" s="1"/>
  <c r="M16" i="8"/>
  <c r="M40" i="8" s="1"/>
  <c r="J16" i="8"/>
  <c r="L16" i="8" s="1"/>
  <c r="L40" i="8" s="1"/>
  <c r="M15" i="8"/>
  <c r="M41" i="8" s="1"/>
  <c r="J15" i="8"/>
  <c r="L15" i="8" s="1"/>
  <c r="L41" i="8" s="1"/>
  <c r="M14" i="8"/>
  <c r="J14" i="8"/>
  <c r="L14" i="8" s="1"/>
  <c r="M13" i="8"/>
  <c r="J13" i="8"/>
  <c r="L13" i="8" s="1"/>
  <c r="F50" i="7"/>
  <c r="E40" i="7" a="1"/>
  <c r="G40" i="7" s="1"/>
  <c r="M10" i="7" a="1"/>
  <c r="M13" i="7" s="1"/>
  <c r="N34" i="7"/>
  <c r="M34" i="7"/>
  <c r="L34" i="7"/>
  <c r="K34" i="7"/>
  <c r="J34" i="7"/>
  <c r="I34" i="7"/>
  <c r="H34" i="7"/>
  <c r="G34" i="7"/>
  <c r="F34" i="7"/>
  <c r="E34" i="7"/>
  <c r="D34" i="7"/>
  <c r="I18" i="7"/>
  <c r="I17" i="7"/>
  <c r="I16" i="7"/>
  <c r="I15" i="7"/>
  <c r="I14" i="7"/>
  <c r="I13" i="7"/>
  <c r="I12" i="7"/>
  <c r="I11" i="7"/>
  <c r="I10" i="7"/>
  <c r="I9" i="7"/>
  <c r="I8" i="7"/>
  <c r="K11" i="6"/>
  <c r="K12" i="6"/>
  <c r="K13" i="6"/>
  <c r="K14" i="6"/>
  <c r="K15" i="6"/>
  <c r="K16" i="6"/>
  <c r="K17" i="6"/>
  <c r="K18" i="6"/>
  <c r="K19" i="6"/>
  <c r="K10" i="6"/>
  <c r="J18" i="6"/>
  <c r="J19" i="6"/>
  <c r="J11" i="6"/>
  <c r="J12" i="6"/>
  <c r="J13" i="6"/>
  <c r="J14" i="6"/>
  <c r="J15" i="6"/>
  <c r="J16" i="6"/>
  <c r="J17" i="6"/>
  <c r="J10" i="6"/>
  <c r="F16" i="6"/>
  <c r="B239" i="1"/>
  <c r="C41" i="5"/>
  <c r="D41" i="5" s="1"/>
  <c r="C33" i="5"/>
  <c r="C26" i="5"/>
  <c r="N32" i="5"/>
  <c r="N25" i="5"/>
  <c r="N18" i="5"/>
  <c r="N11" i="5"/>
  <c r="I10" i="5"/>
  <c r="I11" i="5"/>
  <c r="I12" i="5"/>
  <c r="I13" i="5"/>
  <c r="I14" i="5"/>
  <c r="I15" i="5"/>
  <c r="I16" i="5"/>
  <c r="I17" i="5"/>
  <c r="I18" i="5"/>
  <c r="I19" i="5"/>
  <c r="I9" i="5"/>
  <c r="I44" i="4"/>
  <c r="G30" i="4"/>
  <c r="G29" i="4"/>
  <c r="M26" i="4"/>
  <c r="K26" i="4"/>
  <c r="H26" i="4"/>
  <c r="I26" i="4" s="1"/>
  <c r="M25" i="4"/>
  <c r="K25" i="4"/>
  <c r="H25" i="4"/>
  <c r="J25" i="4" s="1"/>
  <c r="M24" i="4"/>
  <c r="K24" i="4"/>
  <c r="H24" i="4"/>
  <c r="J24" i="4" s="1"/>
  <c r="M23" i="4"/>
  <c r="K23" i="4"/>
  <c r="H23" i="4"/>
  <c r="J23" i="4" s="1"/>
  <c r="M22" i="4"/>
  <c r="K22" i="4"/>
  <c r="H22" i="4"/>
  <c r="J22" i="4" s="1"/>
  <c r="M21" i="4"/>
  <c r="K21" i="4"/>
  <c r="H21" i="4"/>
  <c r="J21" i="4" s="1"/>
  <c r="M20" i="4"/>
  <c r="K20" i="4"/>
  <c r="H20" i="4"/>
  <c r="J20" i="4" s="1"/>
  <c r="M19" i="4"/>
  <c r="K19" i="4"/>
  <c r="H19" i="4"/>
  <c r="J19" i="4" s="1"/>
  <c r="M18" i="4"/>
  <c r="K18" i="4"/>
  <c r="H18" i="4"/>
  <c r="I18" i="4" s="1"/>
  <c r="M17" i="4"/>
  <c r="K17" i="4"/>
  <c r="H17" i="4"/>
  <c r="J17" i="4" s="1"/>
  <c r="M16" i="4"/>
  <c r="K16" i="4"/>
  <c r="H16" i="4"/>
  <c r="J16" i="4" s="1"/>
  <c r="M15" i="4"/>
  <c r="K15" i="4"/>
  <c r="H15" i="4"/>
  <c r="I15" i="4" s="1"/>
  <c r="M14" i="4"/>
  <c r="K14" i="4"/>
  <c r="H14" i="4"/>
  <c r="I14" i="4" s="1"/>
  <c r="M13" i="4"/>
  <c r="K13" i="4"/>
  <c r="H13" i="4"/>
  <c r="J13" i="4" s="1"/>
  <c r="M12" i="4"/>
  <c r="K12" i="4"/>
  <c r="H12" i="4"/>
  <c r="J12" i="4" s="1"/>
  <c r="M11" i="4"/>
  <c r="K11" i="4"/>
  <c r="H11" i="4"/>
  <c r="I11" i="4" s="1"/>
  <c r="M10" i="4"/>
  <c r="K10" i="4"/>
  <c r="H10" i="4"/>
  <c r="J10" i="4" s="1"/>
  <c r="M9" i="4"/>
  <c r="K9" i="4"/>
  <c r="H9" i="4"/>
  <c r="J9" i="4" s="1"/>
  <c r="M8" i="4"/>
  <c r="K8" i="4"/>
  <c r="H8" i="4"/>
  <c r="J8" i="4" s="1"/>
  <c r="M7" i="4"/>
  <c r="K7" i="4"/>
  <c r="H7" i="4"/>
  <c r="J7" i="4" s="1"/>
  <c r="O26" i="3"/>
  <c r="O25" i="3"/>
  <c r="O24" i="3"/>
  <c r="M29" i="3" s="1"/>
  <c r="O23" i="3"/>
  <c r="M28" i="3" s="1"/>
  <c r="F24" i="3"/>
  <c r="F25" i="3"/>
  <c r="E28" i="3" s="1"/>
  <c r="F26" i="3"/>
  <c r="F23" i="3"/>
  <c r="K14" i="3"/>
  <c r="B14" i="3"/>
  <c r="M12" i="2"/>
  <c r="M13" i="2"/>
  <c r="M16" i="2"/>
  <c r="M17" i="2"/>
  <c r="M20" i="2"/>
  <c r="M21" i="2"/>
  <c r="M24" i="2"/>
  <c r="M25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9" i="2"/>
  <c r="H10" i="2"/>
  <c r="I10" i="2" s="1"/>
  <c r="H11" i="2"/>
  <c r="J11" i="2" s="1"/>
  <c r="H12" i="2"/>
  <c r="I12" i="2" s="1"/>
  <c r="H13" i="2"/>
  <c r="I13" i="2" s="1"/>
  <c r="H14" i="2"/>
  <c r="I14" i="2" s="1"/>
  <c r="H15" i="2"/>
  <c r="J15" i="2" s="1"/>
  <c r="H16" i="2"/>
  <c r="I16" i="2" s="1"/>
  <c r="H17" i="2"/>
  <c r="I17" i="2" s="1"/>
  <c r="H18" i="2"/>
  <c r="I18" i="2" s="1"/>
  <c r="H19" i="2"/>
  <c r="J19" i="2" s="1"/>
  <c r="H20" i="2"/>
  <c r="H21" i="2"/>
  <c r="I21" i="2" s="1"/>
  <c r="H22" i="2"/>
  <c r="J22" i="2" s="1"/>
  <c r="H23" i="2"/>
  <c r="I23" i="2" s="1"/>
  <c r="H24" i="2"/>
  <c r="I24" i="2" s="1"/>
  <c r="H25" i="2"/>
  <c r="I25" i="2" s="1"/>
  <c r="H26" i="2"/>
  <c r="J26" i="2" s="1"/>
  <c r="H27" i="2"/>
  <c r="I27" i="2" s="1"/>
  <c r="H28" i="2"/>
  <c r="I28" i="2" s="1"/>
  <c r="H9" i="2"/>
  <c r="I9" i="2" s="1"/>
  <c r="D231" i="1"/>
  <c r="E224" i="1"/>
  <c r="D224" i="1"/>
  <c r="C221" i="1"/>
  <c r="D219" i="1"/>
  <c r="D218" i="1"/>
  <c r="D217" i="1"/>
  <c r="D216" i="1"/>
  <c r="C212" i="1"/>
  <c r="C210" i="1"/>
  <c r="C211" i="1"/>
  <c r="C209" i="1"/>
  <c r="C208" i="1"/>
  <c r="E200" i="1"/>
  <c r="E197" i="1"/>
  <c r="G188" i="1"/>
  <c r="H188" i="1" s="1"/>
  <c r="G189" i="1"/>
  <c r="H189" i="1" s="1"/>
  <c r="G190" i="1"/>
  <c r="H190" i="1" s="1"/>
  <c r="G191" i="1"/>
  <c r="H191" i="1" s="1"/>
  <c r="G192" i="1"/>
  <c r="H192" i="1" s="1"/>
  <c r="G193" i="1"/>
  <c r="H193" i="1" s="1"/>
  <c r="G187" i="1"/>
  <c r="H187" i="1" s="1"/>
  <c r="H175" i="1"/>
  <c r="C165" i="1"/>
  <c r="C166" i="1"/>
  <c r="C167" i="1"/>
  <c r="C168" i="1"/>
  <c r="C169" i="1"/>
  <c r="C170" i="1"/>
  <c r="C164" i="1"/>
  <c r="C155" i="1"/>
  <c r="C156" i="1"/>
  <c r="C157" i="1"/>
  <c r="C158" i="1"/>
  <c r="C159" i="1"/>
  <c r="C160" i="1"/>
  <c r="C161" i="1"/>
  <c r="B151" i="1"/>
  <c r="B147" i="1"/>
  <c r="C143" i="1"/>
  <c r="C140" i="1"/>
  <c r="B143" i="1"/>
  <c r="B140" i="1"/>
  <c r="B137" i="1"/>
  <c r="B136" i="1"/>
  <c r="C133" i="1"/>
  <c r="C132" i="1"/>
  <c r="C131" i="1"/>
  <c r="B127" i="1"/>
  <c r="H93" i="1"/>
  <c r="I93" i="1"/>
  <c r="I90" i="1"/>
  <c r="H90" i="1"/>
  <c r="B124" i="1"/>
  <c r="C118" i="1"/>
  <c r="C119" i="1"/>
  <c r="C120" i="1"/>
  <c r="C117" i="1"/>
  <c r="C112" i="1"/>
  <c r="C113" i="1"/>
  <c r="C114" i="1"/>
  <c r="C111" i="1"/>
  <c r="C108" i="1"/>
  <c r="C105" i="1"/>
  <c r="C100" i="1"/>
  <c r="C101" i="1"/>
  <c r="C102" i="1"/>
  <c r="C99" i="1"/>
  <c r="G91" i="1"/>
  <c r="J91" i="1" s="1"/>
  <c r="G92" i="1"/>
  <c r="J92" i="1" s="1"/>
  <c r="G93" i="1"/>
  <c r="J93" i="1" s="1"/>
  <c r="G94" i="1"/>
  <c r="J94" i="1" s="1"/>
  <c r="G95" i="1"/>
  <c r="J95" i="1" s="1"/>
  <c r="G96" i="1"/>
  <c r="J96" i="1" s="1"/>
  <c r="G90" i="1"/>
  <c r="J90" i="1" s="1"/>
  <c r="B87" i="1"/>
  <c r="B83" i="1"/>
  <c r="C79" i="1"/>
  <c r="C76" i="1"/>
  <c r="C73" i="1"/>
  <c r="C70" i="1"/>
  <c r="C67" i="1"/>
  <c r="C64" i="1"/>
  <c r="C61" i="1"/>
  <c r="E58" i="1"/>
  <c r="D58" i="1"/>
  <c r="C58" i="1"/>
  <c r="E56" i="1"/>
  <c r="D56" i="1"/>
  <c r="C56" i="1"/>
  <c r="E54" i="1"/>
  <c r="D54" i="1"/>
  <c r="C54" i="1"/>
  <c r="C46" i="1"/>
  <c r="C47" i="1"/>
  <c r="C48" i="1"/>
  <c r="C49" i="1"/>
  <c r="C50" i="1"/>
  <c r="C45" i="1"/>
  <c r="B42" i="1"/>
  <c r="B38" i="1"/>
  <c r="B34" i="1"/>
  <c r="B30" i="1"/>
  <c r="C22" i="1"/>
  <c r="C19" i="1"/>
  <c r="E16" i="1"/>
  <c r="D16" i="1"/>
  <c r="C16" i="1"/>
  <c r="C10" i="1"/>
  <c r="D12" i="20" l="1"/>
  <c r="AS26" i="13"/>
  <c r="D14" i="20" s="1"/>
  <c r="L11" i="14"/>
  <c r="P11" i="14" s="1"/>
  <c r="R11" i="14" s="1"/>
  <c r="L16" i="14"/>
  <c r="P16" i="14" s="1"/>
  <c r="R16" i="14" s="1"/>
  <c r="L10" i="14"/>
  <c r="P10" i="14" s="1"/>
  <c r="R10" i="14" s="1"/>
  <c r="L15" i="14"/>
  <c r="P15" i="14" s="1"/>
  <c r="R15" i="14" s="1"/>
  <c r="N43" i="8"/>
  <c r="L14" i="14"/>
  <c r="P14" i="14" s="1"/>
  <c r="R14" i="14" s="1"/>
  <c r="L13" i="14"/>
  <c r="P13" i="14" s="1"/>
  <c r="R13" i="14" s="1"/>
  <c r="P12" i="14"/>
  <c r="R12" i="14" s="1"/>
  <c r="L12" i="14"/>
  <c r="J9" i="2"/>
  <c r="J17" i="2"/>
  <c r="K13" i="8"/>
  <c r="J25" i="2"/>
  <c r="J13" i="2"/>
  <c r="N45" i="8"/>
  <c r="J21" i="2"/>
  <c r="J10" i="2"/>
  <c r="J18" i="2"/>
  <c r="I15" i="2"/>
  <c r="J27" i="2"/>
  <c r="I7" i="4"/>
  <c r="I16" i="4"/>
  <c r="I45" i="4"/>
  <c r="I46" i="4" s="1"/>
  <c r="I47" i="4" s="1"/>
  <c r="K16" i="8"/>
  <c r="K40" i="8" s="1"/>
  <c r="N40" i="8"/>
  <c r="I19" i="2"/>
  <c r="I11" i="2"/>
  <c r="J23" i="2"/>
  <c r="J14" i="2"/>
  <c r="B28" i="3"/>
  <c r="I186" i="1"/>
  <c r="I26" i="2"/>
  <c r="I22" i="2"/>
  <c r="J16" i="2"/>
  <c r="J12" i="2"/>
  <c r="K18" i="8"/>
  <c r="L21" i="8"/>
  <c r="K24" i="8"/>
  <c r="K25" i="8"/>
  <c r="K26" i="8"/>
  <c r="K45" i="8" s="1"/>
  <c r="J43" i="8"/>
  <c r="J40" i="8"/>
  <c r="AR28" i="13"/>
  <c r="AV28" i="13" s="1"/>
  <c r="AR24" i="13"/>
  <c r="AV24" i="13" s="1"/>
  <c r="AR20" i="13"/>
  <c r="AV20" i="13" s="1"/>
  <c r="AR16" i="13"/>
  <c r="AV16" i="13" s="1"/>
  <c r="AR12" i="13"/>
  <c r="AV12" i="13" s="1"/>
  <c r="J28" i="2"/>
  <c r="J24" i="2"/>
  <c r="K29" i="8"/>
  <c r="K43" i="8" s="1"/>
  <c r="L32" i="8"/>
  <c r="J44" i="8"/>
  <c r="N41" i="8"/>
  <c r="J41" i="8"/>
  <c r="AR27" i="13"/>
  <c r="AV27" i="13" s="1"/>
  <c r="AR23" i="13"/>
  <c r="AV23" i="13" s="1"/>
  <c r="AR19" i="13"/>
  <c r="AV19" i="13" s="1"/>
  <c r="AR15" i="13"/>
  <c r="AV15" i="13" s="1"/>
  <c r="AR11" i="13"/>
  <c r="AV11" i="13" s="1"/>
  <c r="B33" i="2"/>
  <c r="J42" i="8"/>
  <c r="O23" i="8"/>
  <c r="O44" i="8" s="1"/>
  <c r="AR26" i="13"/>
  <c r="AV26" i="13" s="1"/>
  <c r="AR22" i="13"/>
  <c r="AV22" i="13" s="1"/>
  <c r="AR18" i="13"/>
  <c r="AV18" i="13" s="1"/>
  <c r="AR14" i="13"/>
  <c r="AV14" i="13" s="1"/>
  <c r="AR10" i="13"/>
  <c r="AV10" i="13" s="1"/>
  <c r="K22" i="8"/>
  <c r="K42" i="8" s="1"/>
  <c r="J45" i="8"/>
  <c r="AR9" i="13"/>
  <c r="AR25" i="13"/>
  <c r="AV25" i="13" s="1"/>
  <c r="AR21" i="13"/>
  <c r="AV21" i="13" s="1"/>
  <c r="AR17" i="13"/>
  <c r="AV17" i="13" s="1"/>
  <c r="I20" i="2"/>
  <c r="J20" i="2"/>
  <c r="B36" i="2"/>
  <c r="G7" i="13"/>
  <c r="G8" i="13" s="1"/>
  <c r="N42" i="8"/>
  <c r="L17" i="8"/>
  <c r="L20" i="8"/>
  <c r="K14" i="8"/>
  <c r="K30" i="8"/>
  <c r="K15" i="8"/>
  <c r="K41" i="8" s="1"/>
  <c r="K19" i="8"/>
  <c r="K23" i="8"/>
  <c r="K44" i="8" s="1"/>
  <c r="K27" i="8"/>
  <c r="K31" i="8"/>
  <c r="E40" i="7"/>
  <c r="F40" i="7"/>
  <c r="M12" i="7"/>
  <c r="M16" i="7"/>
  <c r="M14" i="7"/>
  <c r="M10" i="7"/>
  <c r="M15" i="7"/>
  <c r="M11" i="7"/>
  <c r="I22" i="4"/>
  <c r="I19" i="4"/>
  <c r="J15" i="4"/>
  <c r="J18" i="4"/>
  <c r="I10" i="4"/>
  <c r="J26" i="4"/>
  <c r="I12" i="4"/>
  <c r="I20" i="4"/>
  <c r="I23" i="4"/>
  <c r="J11" i="4"/>
  <c r="J14" i="4"/>
  <c r="I8" i="4"/>
  <c r="I24" i="4"/>
  <c r="I9" i="4"/>
  <c r="I13" i="4"/>
  <c r="I17" i="4"/>
  <c r="I21" i="4"/>
  <c r="I25" i="4"/>
  <c r="C26" i="6" l="1"/>
  <c r="C28" i="6" s="1"/>
  <c r="H7" i="13"/>
  <c r="H8" i="13" s="1"/>
  <c r="I7" i="13" l="1"/>
  <c r="I8" i="13" s="1"/>
  <c r="J7" i="13" l="1"/>
  <c r="J8" i="13" s="1"/>
  <c r="K7" i="13" l="1"/>
  <c r="K8" i="13" s="1"/>
  <c r="L7" i="13" l="1"/>
  <c r="L8" i="13" s="1"/>
  <c r="M7" i="13" l="1"/>
  <c r="M8" i="13" s="1"/>
  <c r="N7" i="13" l="1"/>
  <c r="N8" i="13" s="1"/>
  <c r="O7" i="13" l="1"/>
  <c r="O8" i="13" s="1"/>
  <c r="P7" i="13" l="1"/>
  <c r="P8" i="13" s="1"/>
  <c r="Q7" i="13" l="1"/>
  <c r="Q8" i="13" s="1"/>
  <c r="R7" i="13" l="1"/>
  <c r="R8" i="13" s="1"/>
  <c r="S7" i="13" l="1"/>
  <c r="S8" i="13" s="1"/>
  <c r="T7" i="13" l="1"/>
  <c r="T8" i="13" s="1"/>
  <c r="U7" i="13" l="1"/>
  <c r="U8" i="13" s="1"/>
  <c r="V7" i="13" l="1"/>
  <c r="V8" i="13" s="1"/>
  <c r="W7" i="13" l="1"/>
  <c r="W8" i="13" s="1"/>
  <c r="X7" i="13" l="1"/>
  <c r="X8" i="13" s="1"/>
  <c r="Y7" i="13" l="1"/>
  <c r="Y8" i="13" s="1"/>
  <c r="Z7" i="13" l="1"/>
  <c r="Z8" i="13" s="1"/>
  <c r="AA7" i="13" l="1"/>
  <c r="AA8" i="13" s="1"/>
  <c r="AB7" i="13" l="1"/>
  <c r="AB8" i="13" s="1"/>
  <c r="AC7" i="13" l="1"/>
  <c r="AC8" i="13" s="1"/>
  <c r="AD7" i="13" l="1"/>
  <c r="AD8" i="13" s="1"/>
  <c r="AE7" i="13" l="1"/>
  <c r="AE8" i="13" s="1"/>
  <c r="AF7" i="13" l="1"/>
  <c r="AF8" i="13" s="1"/>
  <c r="AG7" i="13" l="1"/>
  <c r="AG8" i="13" s="1"/>
  <c r="AH7" i="13" l="1"/>
  <c r="AH8" i="13" s="1"/>
  <c r="AI7" i="13" l="1"/>
  <c r="AI8" i="13" s="1"/>
  <c r="AJ7" i="13" l="1"/>
  <c r="AJ8" i="13" s="1"/>
  <c r="AK7" i="13" l="1"/>
  <c r="AK8" i="13" s="1"/>
  <c r="AX25" i="13" l="1"/>
  <c r="AY25" i="13" s="1"/>
  <c r="AX17" i="13"/>
  <c r="AY17" i="13" s="1"/>
  <c r="AX19" i="13"/>
  <c r="AY19" i="13" s="1"/>
  <c r="AX13" i="13"/>
  <c r="AY13" i="13" s="1"/>
  <c r="AX27" i="13"/>
  <c r="AY27" i="13" s="1"/>
  <c r="AX15" i="13"/>
  <c r="AY15" i="13" s="1"/>
  <c r="AX22" i="13"/>
  <c r="AY22" i="13" s="1"/>
  <c r="AX11" i="13"/>
  <c r="AY11" i="13" s="1"/>
  <c r="AX20" i="13"/>
  <c r="AY20" i="13" s="1"/>
  <c r="AX12" i="13"/>
  <c r="AY12" i="13" s="1"/>
  <c r="AX23" i="13"/>
  <c r="AY23" i="13" s="1"/>
  <c r="AX10" i="13"/>
  <c r="AY10" i="13" s="1"/>
  <c r="AX26" i="13"/>
  <c r="AY26" i="13" s="1"/>
  <c r="AX14" i="13"/>
  <c r="AY14" i="13" s="1"/>
  <c r="AX16" i="13"/>
  <c r="AY16" i="13" s="1"/>
  <c r="AX18" i="13"/>
  <c r="AY18" i="13" s="1"/>
  <c r="AX28" i="13"/>
  <c r="AY28" i="13" s="1"/>
  <c r="AX24" i="13"/>
  <c r="AY24" i="13" s="1"/>
  <c r="AX21" i="13"/>
  <c r="AY21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AJAY</author>
  </authors>
  <commentList>
    <comment ref="D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AJAY:</t>
        </r>
        <r>
          <rPr>
            <sz val="9"/>
            <color indexed="81"/>
            <rFont val="Tahoma"/>
            <family val="2"/>
          </rPr>
          <t xml:space="preserve">
BASIC SINGLE FORMULA'S AND TABLE'S</t>
        </r>
      </text>
    </comment>
    <comment ref="D9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AJAY:</t>
        </r>
        <r>
          <rPr>
            <sz val="9"/>
            <color indexed="81"/>
            <rFont val="Tahoma"/>
            <family val="2"/>
          </rPr>
          <t xml:space="preserve">
RESULT GRADE AND COMPARTMENT IN THIS TAB</t>
        </r>
      </text>
    </comment>
    <comment ref="D10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AJAY:</t>
        </r>
        <r>
          <rPr>
            <sz val="9"/>
            <color indexed="81"/>
            <rFont val="Tahoma"/>
            <family val="2"/>
          </rPr>
          <t xml:space="preserve">
AVERAGE ALL FORMULAS LIKE 
AVERAGE
AVERAGEA
AVERAGEIF
AVERAGEIFS</t>
        </r>
      </text>
    </comment>
    <comment ref="D1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AJAY:</t>
        </r>
        <r>
          <rPr>
            <sz val="9"/>
            <color indexed="81"/>
            <rFont val="Tahoma"/>
            <family val="2"/>
          </rPr>
          <t xml:space="preserve">
INDEX USE IN TABLE ROW AND COLUMNS
INDEX SHOW'S LOCATION LIKE = 3,1
FORCAST FORMULA SHOW THE USTIMATE IN VALUES LIKE 1,3,4,5
THE NEXT WILL DEFINITELY THE UPPER VALUE</t>
        </r>
      </text>
    </comment>
    <comment ref="D12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AJAY:</t>
        </r>
        <r>
          <rPr>
            <sz val="9"/>
            <color indexed="81"/>
            <rFont val="Tahoma"/>
            <family val="2"/>
          </rPr>
          <t xml:space="preserve">
DSUM=CUNTITION SUM
DMIN= CUNTITION MIN
DMAX= CUNTITION MAX
DCOUNT=CUNTITION COUNT
DCOUNTA=CUNTITION COUNTA
DAVERAGE=CUNTITION AVERAGE
DGET=DUBBLE CUNTITION SHOW IN THE CELL</t>
        </r>
      </text>
    </comment>
    <comment ref="D13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AJAY:</t>
        </r>
        <r>
          <rPr>
            <sz val="9"/>
            <color indexed="81"/>
            <rFont val="Tahoma"/>
            <family val="2"/>
          </rPr>
          <t xml:space="preserve">
PPMT=TOTAL AMOUNT IN A MOUNTH EMI
IPMT=ONLY RATE ON PV
RATE=%RATE
NPER=TIME IN YEAR'S
PV=LOAN AMOUNT
FV=FIX DEPOSIT
PMT=TOTAL EMI</t>
        </r>
      </text>
    </comment>
    <comment ref="D14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AJAY:</t>
        </r>
        <r>
          <rPr>
            <sz val="9"/>
            <color indexed="81"/>
            <rFont val="Tahoma"/>
            <family val="2"/>
          </rPr>
          <t xml:space="preserve">
VLOOKUP = SHOW ONLY COLUMNS DATA
HLOOKUP = SHOW ONLY ROW DATA
MATCH = SHOW ONLY 1 CELL IN ONLY IN 1 COLUMNS</t>
        </r>
      </text>
    </comment>
    <comment ref="D15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AJAY:</t>
        </r>
        <r>
          <rPr>
            <sz val="9"/>
            <color indexed="81"/>
            <rFont val="Tahoma"/>
            <family val="2"/>
          </rPr>
          <t xml:space="preserve">
YOU SAW THE ALL DATA IN USED ONLY 1 FORMULA WITH ID</t>
        </r>
      </text>
    </comment>
    <comment ref="D16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AJAY:</t>
        </r>
        <r>
          <rPr>
            <sz val="9"/>
            <color indexed="81"/>
            <rFont val="Tahoma"/>
            <family val="2"/>
          </rPr>
          <t xml:space="preserve">
INCENTIVE USED IN SALES AND TARGED PURPUGES</t>
        </r>
      </text>
    </comment>
    <comment ref="D17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AJAY:</t>
        </r>
        <r>
          <rPr>
            <sz val="9"/>
            <color indexed="81"/>
            <rFont val="Tahoma"/>
            <family val="2"/>
          </rPr>
          <t xml:space="preserve">
SEARCH FORMULA USED IN SEARCH WHAT DO YOU WANT IT'S SHOW THE ONLY 1 RUSULT </t>
        </r>
      </text>
    </comment>
    <comment ref="D18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AJAY:</t>
        </r>
        <r>
          <rPr>
            <sz val="9"/>
            <color indexed="81"/>
            <rFont val="Tahoma"/>
            <family val="2"/>
          </rPr>
          <t xml:space="preserve">
COUNT THE AGE OF THE STUDENTS ETC</t>
        </r>
      </text>
    </comment>
    <comment ref="D19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AJAY:</t>
        </r>
        <r>
          <rPr>
            <sz val="9"/>
            <color indexed="81"/>
            <rFont val="Tahoma"/>
            <family val="2"/>
          </rPr>
          <t xml:space="preserve">
ATTENDANCE SHEET 
I SHOW THE SUN IS OFF ;)
SALARY SHEET ALSO</t>
        </r>
      </text>
    </comment>
    <comment ref="D20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AJAY:</t>
        </r>
        <r>
          <rPr>
            <sz val="9"/>
            <color indexed="81"/>
            <rFont val="Tahoma"/>
            <family val="2"/>
          </rPr>
          <t xml:space="preserve">
ELECTRICITY BILL USE TO SHOW THE AMOUNT OF ELECTRICITY YOU USED.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AJAY</author>
  </authors>
  <commentList>
    <comment ref="C25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AJAY:</t>
        </r>
        <r>
          <rPr>
            <sz val="9"/>
            <color indexed="81"/>
            <rFont val="Tahoma"/>
            <family val="2"/>
          </rPr>
          <t xml:space="preserve">
Divide by 12 ki sab sa najdik ki value</t>
        </r>
      </text>
    </comment>
    <comment ref="C256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AJAY:</t>
        </r>
        <r>
          <rPr>
            <sz val="9"/>
            <color indexed="81"/>
            <rFont val="Tahoma"/>
            <family val="2"/>
          </rPr>
          <t xml:space="preserve">
Next divigen by 12 is this value</t>
        </r>
      </text>
    </comment>
    <comment ref="C259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AJAY:</t>
        </r>
        <r>
          <rPr>
            <sz val="9"/>
            <color indexed="81"/>
            <rFont val="Tahoma"/>
            <family val="2"/>
          </rPr>
          <t xml:space="preserve">
Privious value divide by 12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<sst xmlns="http://schemas.openxmlformats.org/spreadsheetml/2006/main" count="1586" uniqueCount="509">
  <si>
    <t>Today date show</t>
  </si>
  <si>
    <t>Ctrl + ;</t>
  </si>
  <si>
    <t>Time show</t>
  </si>
  <si>
    <t>ctrl + shift + ;</t>
  </si>
  <si>
    <t xml:space="preserve">Now </t>
  </si>
  <si>
    <t xml:space="preserve">Day + Month + Year </t>
  </si>
  <si>
    <t>month</t>
  </si>
  <si>
    <t>Year</t>
  </si>
  <si>
    <t>Day</t>
  </si>
  <si>
    <t>Minute</t>
  </si>
  <si>
    <t>Secend</t>
  </si>
  <si>
    <t>Mod</t>
  </si>
  <si>
    <t>LCM</t>
  </si>
  <si>
    <t>HCF</t>
  </si>
  <si>
    <t>Trim</t>
  </si>
  <si>
    <t>Ajay       Singh       Gahlawat</t>
  </si>
  <si>
    <t>Isblank</t>
  </si>
  <si>
    <t>Ajay Singh Gahlawat</t>
  </si>
  <si>
    <t>Mid</t>
  </si>
  <si>
    <t>Ajay</t>
  </si>
  <si>
    <t>vijay</t>
  </si>
  <si>
    <t>Chota Bhem</t>
  </si>
  <si>
    <t>Chutki</t>
  </si>
  <si>
    <t>Text</t>
  </si>
  <si>
    <t>4 time dddd</t>
  </si>
  <si>
    <t>3 times ddd</t>
  </si>
  <si>
    <t>2 times dd</t>
  </si>
  <si>
    <t>Month</t>
  </si>
  <si>
    <t>ABS</t>
  </si>
  <si>
    <t>LEN</t>
  </si>
  <si>
    <t>Left</t>
  </si>
  <si>
    <t>Right</t>
  </si>
  <si>
    <t>Ajay Singh</t>
  </si>
  <si>
    <t>Upper</t>
  </si>
  <si>
    <t>ajay singh</t>
  </si>
  <si>
    <t>Lower</t>
  </si>
  <si>
    <t>AJAY SINGH</t>
  </si>
  <si>
    <t>Proper</t>
  </si>
  <si>
    <t>AJaY sINgh</t>
  </si>
  <si>
    <t>Concatenate</t>
  </si>
  <si>
    <t>Singh</t>
  </si>
  <si>
    <t>Concatenate with space</t>
  </si>
  <si>
    <t xml:space="preserve">Hindi </t>
  </si>
  <si>
    <t>English</t>
  </si>
  <si>
    <t xml:space="preserve">Maths </t>
  </si>
  <si>
    <t>S.S</t>
  </si>
  <si>
    <t>Total</t>
  </si>
  <si>
    <t>Nitin</t>
  </si>
  <si>
    <t>Ravi</t>
  </si>
  <si>
    <t>Mukesh</t>
  </si>
  <si>
    <t>Versha</t>
  </si>
  <si>
    <t>Anjali</t>
  </si>
  <si>
    <t>Lakshman</t>
  </si>
  <si>
    <t>Sum</t>
  </si>
  <si>
    <t>Roman</t>
  </si>
  <si>
    <t>Randbettwen</t>
  </si>
  <si>
    <t>INT</t>
  </si>
  <si>
    <t>Rept</t>
  </si>
  <si>
    <t>Code</t>
  </si>
  <si>
    <t>a</t>
  </si>
  <si>
    <t>t</t>
  </si>
  <si>
    <t>h</t>
  </si>
  <si>
    <t>s</t>
  </si>
  <si>
    <t>Char</t>
  </si>
  <si>
    <t>Replace</t>
  </si>
  <si>
    <t>max</t>
  </si>
  <si>
    <t>min</t>
  </si>
  <si>
    <t>Larger</t>
  </si>
  <si>
    <t>Small</t>
  </si>
  <si>
    <t>Grade</t>
  </si>
  <si>
    <t>if</t>
  </si>
  <si>
    <t>Pi</t>
  </si>
  <si>
    <t>Dateif</t>
  </si>
  <si>
    <t>months</t>
  </si>
  <si>
    <t>year</t>
  </si>
  <si>
    <t>days</t>
  </si>
  <si>
    <t>today = 10/4/2022</t>
  </si>
  <si>
    <t>Row</t>
  </si>
  <si>
    <t>Rows</t>
  </si>
  <si>
    <t>Column</t>
  </si>
  <si>
    <t>Columns</t>
  </si>
  <si>
    <t>Find</t>
  </si>
  <si>
    <t>Ampersand</t>
  </si>
  <si>
    <t xml:space="preserve">Ajay </t>
  </si>
  <si>
    <t>Even</t>
  </si>
  <si>
    <t>Odd</t>
  </si>
  <si>
    <t>Name</t>
  </si>
  <si>
    <t>hindi</t>
  </si>
  <si>
    <t xml:space="preserve">maths </t>
  </si>
  <si>
    <t>scince</t>
  </si>
  <si>
    <t>count</t>
  </si>
  <si>
    <t>CountA</t>
  </si>
  <si>
    <t>CountA-count</t>
  </si>
  <si>
    <t>CountBlank</t>
  </si>
  <si>
    <t>CountIf</t>
  </si>
  <si>
    <t>Countifs</t>
  </si>
  <si>
    <t>total</t>
  </si>
  <si>
    <t>pass/fail</t>
  </si>
  <si>
    <t>mango</t>
  </si>
  <si>
    <t>apple</t>
  </si>
  <si>
    <t>oringe</t>
  </si>
  <si>
    <t>sonipat</t>
  </si>
  <si>
    <t>rothak</t>
  </si>
  <si>
    <t>panipat</t>
  </si>
  <si>
    <t>SUMIF</t>
  </si>
  <si>
    <t>SUMIFS</t>
  </si>
  <si>
    <t>SUMRUNNING</t>
  </si>
  <si>
    <t>SUMPRODUCT</t>
  </si>
  <si>
    <t>PRODUCT</t>
  </si>
  <si>
    <t>SUMSQ</t>
  </si>
  <si>
    <t>Sr. no</t>
  </si>
  <si>
    <t>Ajay Gahlawat</t>
  </si>
  <si>
    <t>Romil Gahlawat</t>
  </si>
  <si>
    <t>Vishal</t>
  </si>
  <si>
    <t>Manoj</t>
  </si>
  <si>
    <t>Sumit</t>
  </si>
  <si>
    <t>Parveen</t>
  </si>
  <si>
    <t>Rajan</t>
  </si>
  <si>
    <t>Harsh</t>
  </si>
  <si>
    <t>Tun Tun Mosi</t>
  </si>
  <si>
    <t>Dholu</t>
  </si>
  <si>
    <t>Bholu</t>
  </si>
  <si>
    <t>Khaliya</t>
  </si>
  <si>
    <t>Indumati</t>
  </si>
  <si>
    <t>Nobita</t>
  </si>
  <si>
    <t>Doraeemon</t>
  </si>
  <si>
    <t>Shizuka</t>
  </si>
  <si>
    <t>Suneo</t>
  </si>
  <si>
    <t>Hindi</t>
  </si>
  <si>
    <t>Math's</t>
  </si>
  <si>
    <t>Science</t>
  </si>
  <si>
    <t>Social Science</t>
  </si>
  <si>
    <t>total Marks</t>
  </si>
  <si>
    <t>Percentage</t>
  </si>
  <si>
    <t>Average</t>
  </si>
  <si>
    <t>passing subject</t>
  </si>
  <si>
    <t>pass/fail/Compartent</t>
  </si>
  <si>
    <t>CLASS TOPPER</t>
  </si>
  <si>
    <t>MIN MARKS</t>
  </si>
  <si>
    <t>AVERAGE IS NOT COUNT YOUR TABLE WORD IS A NUMBER</t>
  </si>
  <si>
    <t>eg</t>
  </si>
  <si>
    <t>100/4</t>
  </si>
  <si>
    <t>100/5</t>
  </si>
  <si>
    <t>AJAY</t>
  </si>
  <si>
    <t>AVERAGE IS COUNT YOUR TABLES WORD IS A NUMBER</t>
  </si>
  <si>
    <t xml:space="preserve">ITEM </t>
  </si>
  <si>
    <t>APPLE</t>
  </si>
  <si>
    <t>ORINGE</t>
  </si>
  <si>
    <t>LITCHI</t>
  </si>
  <si>
    <t>MANGO</t>
  </si>
  <si>
    <t>PLACE</t>
  </si>
  <si>
    <t>SONIPAT</t>
  </si>
  <si>
    <t>PANIPAT</t>
  </si>
  <si>
    <t>ROHTAK</t>
  </si>
  <si>
    <t>RATE</t>
  </si>
  <si>
    <t>QUINTITY</t>
  </si>
  <si>
    <t>RATE PER KG</t>
  </si>
  <si>
    <t>TOTAL AMOUNT</t>
  </si>
  <si>
    <t>1 TYPE</t>
  </si>
  <si>
    <t>2 TYPE</t>
  </si>
  <si>
    <t>5,5</t>
  </si>
  <si>
    <t>15,1</t>
  </si>
  <si>
    <t>MONTHS</t>
  </si>
  <si>
    <t>NO OF ADDMITIONS</t>
  </si>
  <si>
    <t>QUE</t>
  </si>
  <si>
    <t>ANS</t>
  </si>
  <si>
    <t>ITEM NAME</t>
  </si>
  <si>
    <t xml:space="preserve">PRODUCT </t>
  </si>
  <si>
    <t>CPU</t>
  </si>
  <si>
    <t>MOBILE</t>
  </si>
  <si>
    <t>LED</t>
  </si>
  <si>
    <t>MOUSE</t>
  </si>
  <si>
    <t>PRINTER</t>
  </si>
  <si>
    <t>COMPUTER</t>
  </si>
  <si>
    <t>RAGER</t>
  </si>
  <si>
    <t>ONE PLUS</t>
  </si>
  <si>
    <t>REAL ME</t>
  </si>
  <si>
    <t>MSI</t>
  </si>
  <si>
    <t>HP</t>
  </si>
  <si>
    <t>DELL</t>
  </si>
  <si>
    <t>KHARKHODA</t>
  </si>
  <si>
    <t>DELHI</t>
  </si>
  <si>
    <t>DSUM</t>
  </si>
  <si>
    <t>DAVERAGE</t>
  </si>
  <si>
    <t>DMIN</t>
  </si>
  <si>
    <t>DMAX</t>
  </si>
  <si>
    <t>DCOUNT</t>
  </si>
  <si>
    <t>DCOUNTA</t>
  </si>
  <si>
    <t>DGET</t>
  </si>
  <si>
    <t>ID</t>
  </si>
  <si>
    <t xml:space="preserve">THIS FORMULA IS USE TO GET THE ALL DETAIL ;) </t>
  </si>
  <si>
    <t>I AM A BAD BOY.</t>
  </si>
  <si>
    <t>SUBSTITUTE</t>
  </si>
  <si>
    <t>PV</t>
  </si>
  <si>
    <t>LOAN AMOUNT</t>
  </si>
  <si>
    <t>TIME</t>
  </si>
  <si>
    <t xml:space="preserve">YEAR'S </t>
  </si>
  <si>
    <t>%</t>
  </si>
  <si>
    <t>PMT</t>
  </si>
  <si>
    <t>PPMT</t>
  </si>
  <si>
    <t>IPMT</t>
  </si>
  <si>
    <t>TOTAL EMI</t>
  </si>
  <si>
    <t>NO COST EMI</t>
  </si>
  <si>
    <t>ONLY RATE ON PV</t>
  </si>
  <si>
    <t>TABLE</t>
  </si>
  <si>
    <t>NPER</t>
  </si>
  <si>
    <t>FV</t>
  </si>
  <si>
    <t>FIX DEP</t>
  </si>
  <si>
    <t>CTRL + SHIFT + ENTER</t>
  </si>
  <si>
    <t>Use one in 1 colume</t>
  </si>
  <si>
    <t>STUDENT ID</t>
  </si>
  <si>
    <t>RESULT</t>
  </si>
  <si>
    <t>Countif 33 marks</t>
  </si>
  <si>
    <t>Round</t>
  </si>
  <si>
    <t>Round up</t>
  </si>
  <si>
    <t>Round down</t>
  </si>
  <si>
    <t>Mround</t>
  </si>
  <si>
    <t>ceiling</t>
  </si>
  <si>
    <t>floor</t>
  </si>
  <si>
    <t xml:space="preserve">Name </t>
  </si>
  <si>
    <t>Vijay</t>
  </si>
  <si>
    <t>Romil</t>
  </si>
  <si>
    <t>Target</t>
  </si>
  <si>
    <t>Sales</t>
  </si>
  <si>
    <t>Deepak</t>
  </si>
  <si>
    <t>Incentive</t>
  </si>
  <si>
    <t>Incentive table</t>
  </si>
  <si>
    <t>A</t>
  </si>
  <si>
    <t>B</t>
  </si>
  <si>
    <t>C</t>
  </si>
  <si>
    <t>D</t>
  </si>
  <si>
    <t>DOB</t>
  </si>
  <si>
    <t>Aditya</t>
  </si>
  <si>
    <t>Salary</t>
  </si>
  <si>
    <t>Search Formula if &amp; Vlookup mix</t>
  </si>
  <si>
    <t>Father's name</t>
  </si>
  <si>
    <t>class</t>
  </si>
  <si>
    <t>Addmission no</t>
  </si>
  <si>
    <t>Roll no</t>
  </si>
  <si>
    <t>Aditaya</t>
  </si>
  <si>
    <t>Ramash</t>
  </si>
  <si>
    <t>Rajash</t>
  </si>
  <si>
    <t>Nikhil</t>
  </si>
  <si>
    <t>Sachin</t>
  </si>
  <si>
    <t>Vikki</t>
  </si>
  <si>
    <t>Shorab</t>
  </si>
  <si>
    <t>Vinay</t>
  </si>
  <si>
    <t>Sidharth</t>
  </si>
  <si>
    <t>Rahul</t>
  </si>
  <si>
    <t>Satyawan</t>
  </si>
  <si>
    <t>Sandeep</t>
  </si>
  <si>
    <t>Rambhir</t>
  </si>
  <si>
    <t>Surjeet</t>
  </si>
  <si>
    <t>Surander</t>
  </si>
  <si>
    <t>Shispal</t>
  </si>
  <si>
    <t>Dalber</t>
  </si>
  <si>
    <t>Rajesh</t>
  </si>
  <si>
    <t>Divender</t>
  </si>
  <si>
    <t>Vadparkash</t>
  </si>
  <si>
    <t>Dharamparkash</t>
  </si>
  <si>
    <t>Omparkash</t>
  </si>
  <si>
    <t>Vijant</t>
  </si>
  <si>
    <t>Satber</t>
  </si>
  <si>
    <t>Satpal</t>
  </si>
  <si>
    <t>Denesh</t>
  </si>
  <si>
    <t>Denash</t>
  </si>
  <si>
    <t>Hariom</t>
  </si>
  <si>
    <t>Mohan</t>
  </si>
  <si>
    <t>XII</t>
  </si>
  <si>
    <t>Year's</t>
  </si>
  <si>
    <t>Month's</t>
  </si>
  <si>
    <t>To</t>
  </si>
  <si>
    <t>Electricity Bill</t>
  </si>
  <si>
    <t>Meter No.</t>
  </si>
  <si>
    <t>Current</t>
  </si>
  <si>
    <t>Previous</t>
  </si>
  <si>
    <t>Total Used unit</t>
  </si>
  <si>
    <t>Rate</t>
  </si>
  <si>
    <t>Bheem</t>
  </si>
  <si>
    <t>Raju</t>
  </si>
  <si>
    <t>Jaggu</t>
  </si>
  <si>
    <t>Kaliya</t>
  </si>
  <si>
    <t>SHEET NO</t>
  </si>
  <si>
    <t>NAME &amp; WORK</t>
  </si>
  <si>
    <t>LINKS TO GO</t>
  </si>
  <si>
    <t>EXCEL FORMULA'S BASIC</t>
  </si>
  <si>
    <t>COMPARTMENT</t>
  </si>
  <si>
    <t>AVERAGE FORMULA</t>
  </si>
  <si>
    <t>FORCAST &amp; INDEX</t>
  </si>
  <si>
    <t>DATA BASE FUNCTION'S</t>
  </si>
  <si>
    <t>EMI FORMULA</t>
  </si>
  <si>
    <t>LOOKUP &amp; MATCH FORMULA'S</t>
  </si>
  <si>
    <t>VLOOKUP &amp; MATCH MIX</t>
  </si>
  <si>
    <t>INCENTIVE</t>
  </si>
  <si>
    <t xml:space="preserve">SEARCH FORMULA </t>
  </si>
  <si>
    <t>AGE COUNT FORMULA</t>
  </si>
  <si>
    <t>ELECTRICITY BILL</t>
  </si>
  <si>
    <t>SEARCH FORMULA IF &amp; VLOOKUP</t>
  </si>
  <si>
    <t>LOOKUP &amp; MATCH FORMULA</t>
  </si>
  <si>
    <t>DATA BASE FUNCTION</t>
  </si>
  <si>
    <t>Excel Formula</t>
  </si>
  <si>
    <t>PRESENCE</t>
  </si>
  <si>
    <t>ABSENCE</t>
  </si>
  <si>
    <t>TOTAL DAYS</t>
  </si>
  <si>
    <t>TOTAL PAYABLE DAYS</t>
  </si>
  <si>
    <t>BASIC SALARY</t>
  </si>
  <si>
    <t>PF 5%</t>
  </si>
  <si>
    <t>PER DAY AMOUNT</t>
  </si>
  <si>
    <t>IN HAND SALARY</t>
  </si>
  <si>
    <t>P</t>
  </si>
  <si>
    <t>jan</t>
  </si>
  <si>
    <t>HRA 10%</t>
  </si>
  <si>
    <t>ATTENDANCE SHEET &amp; SALARY SHEET</t>
  </si>
  <si>
    <t>NETWORKDAYS</t>
  </si>
  <si>
    <t>NETWORK DAYS WITH HOLYDAY</t>
  </si>
  <si>
    <t>HOLYDAYS</t>
  </si>
  <si>
    <t>Paid date</t>
  </si>
  <si>
    <t>Fine After due date</t>
  </si>
  <si>
    <t>Due date</t>
  </si>
  <si>
    <t>RATE LIST</t>
  </si>
  <si>
    <t>50-100</t>
  </si>
  <si>
    <t>100-200</t>
  </si>
  <si>
    <t>200-300</t>
  </si>
  <si>
    <t>300-400</t>
  </si>
  <si>
    <t>400-500</t>
  </si>
  <si>
    <t>600 ABOVE</t>
  </si>
  <si>
    <t>TOTAL BILL</t>
  </si>
  <si>
    <t>TAX 8%</t>
  </si>
  <si>
    <t>XLOOKUP AND USE</t>
  </si>
  <si>
    <t>Item ID</t>
  </si>
  <si>
    <t>Item Name</t>
  </si>
  <si>
    <t>Date</t>
  </si>
  <si>
    <t>Sale</t>
  </si>
  <si>
    <t>mouse</t>
  </si>
  <si>
    <t>keyboard</t>
  </si>
  <si>
    <t>monitor</t>
  </si>
  <si>
    <t>printer</t>
  </si>
  <si>
    <t>scanner</t>
  </si>
  <si>
    <t>hard disk</t>
  </si>
  <si>
    <t>Sale 2</t>
  </si>
  <si>
    <t>Total Sale</t>
  </si>
  <si>
    <t>ADD, SUBTRACT, MULTIPLY, DIVIDE</t>
  </si>
  <si>
    <t>SALE</t>
  </si>
  <si>
    <t>Jan</t>
  </si>
  <si>
    <t>feb</t>
  </si>
  <si>
    <t>Mar</t>
  </si>
  <si>
    <t>Apr</t>
  </si>
  <si>
    <t>May</t>
  </si>
  <si>
    <t>jun</t>
  </si>
  <si>
    <t>Item name</t>
  </si>
  <si>
    <t>City</t>
  </si>
  <si>
    <t>Apple</t>
  </si>
  <si>
    <t>Punchkula</t>
  </si>
  <si>
    <t>Oringe</t>
  </si>
  <si>
    <t>Bananna</t>
  </si>
  <si>
    <t>Hisar</t>
  </si>
  <si>
    <t>Mango</t>
  </si>
  <si>
    <t>Sonipat</t>
  </si>
  <si>
    <t>Litchi</t>
  </si>
  <si>
    <t>Panipat</t>
  </si>
  <si>
    <t>Yumna Nager</t>
  </si>
  <si>
    <t>Ambala</t>
  </si>
  <si>
    <t>CONVERT</t>
  </si>
  <si>
    <t>ft</t>
  </si>
  <si>
    <t>in</t>
  </si>
  <si>
    <t>Months</t>
  </si>
  <si>
    <t>Days</t>
  </si>
  <si>
    <t>Years</t>
  </si>
  <si>
    <t>Show how many years months and days acording today</t>
  </si>
  <si>
    <t>switch</t>
  </si>
  <si>
    <t>choose</t>
  </si>
  <si>
    <t>Sunday</t>
  </si>
  <si>
    <t>Monday</t>
  </si>
  <si>
    <t>Tuesday</t>
  </si>
  <si>
    <t>Wednesday</t>
  </si>
  <si>
    <t>Thursday</t>
  </si>
  <si>
    <t>Friday</t>
  </si>
  <si>
    <t>Saturday</t>
  </si>
  <si>
    <t>day of week</t>
  </si>
  <si>
    <t>rank</t>
  </si>
  <si>
    <t>ajay</t>
  </si>
  <si>
    <t>ram</t>
  </si>
  <si>
    <t>syam</t>
  </si>
  <si>
    <t>mohit</t>
  </si>
  <si>
    <t>vinny</t>
  </si>
  <si>
    <t>vikky</t>
  </si>
  <si>
    <t>pooja</t>
  </si>
  <si>
    <t>department</t>
  </si>
  <si>
    <t>it</t>
  </si>
  <si>
    <t>hr</t>
  </si>
  <si>
    <t>finance</t>
  </si>
  <si>
    <t>team</t>
  </si>
  <si>
    <t>Raja</t>
  </si>
  <si>
    <t>Suman</t>
  </si>
  <si>
    <t>Beena</t>
  </si>
  <si>
    <t>Seema</t>
  </si>
  <si>
    <t>Julie</t>
  </si>
  <si>
    <t>Neena</t>
  </si>
  <si>
    <t>Pankaj</t>
  </si>
  <si>
    <t>Andre</t>
  </si>
  <si>
    <t>Sujay</t>
  </si>
  <si>
    <t>Shilpa</t>
  </si>
  <si>
    <t>Meera</t>
  </si>
  <si>
    <t>Sheetal</t>
  </si>
  <si>
    <t>K. Sita</t>
  </si>
  <si>
    <t>Priya</t>
  </si>
  <si>
    <t>Aalok</t>
  </si>
  <si>
    <t>Aakash</t>
  </si>
  <si>
    <t>Parvati</t>
  </si>
  <si>
    <t>Farhan</t>
  </si>
  <si>
    <t>Satinder Kaur</t>
  </si>
  <si>
    <t>Suchita</t>
  </si>
  <si>
    <t>Shazia</t>
  </si>
  <si>
    <t>Pooja</t>
  </si>
  <si>
    <t>Jasbinder</t>
  </si>
  <si>
    <t>Bharat</t>
  </si>
  <si>
    <t>Rishi</t>
  </si>
  <si>
    <t>Mala</t>
  </si>
  <si>
    <t>Hajra</t>
  </si>
  <si>
    <t>Aalam</t>
  </si>
  <si>
    <t>Giriraj</t>
  </si>
  <si>
    <t>Ankur</t>
  </si>
  <si>
    <t>Tapan</t>
  </si>
  <si>
    <t>Zarina</t>
  </si>
  <si>
    <t>Arun</t>
  </si>
  <si>
    <t>Chitra</t>
  </si>
  <si>
    <t>Richa</t>
  </si>
  <si>
    <t>Kirtikar</t>
  </si>
  <si>
    <t>sales</t>
  </si>
  <si>
    <t>CAT</t>
  </si>
  <si>
    <t>GEN</t>
  </si>
  <si>
    <t>SC</t>
  </si>
  <si>
    <t>OBC</t>
  </si>
  <si>
    <t>ST</t>
  </si>
  <si>
    <t>CAT RATE</t>
  </si>
  <si>
    <t>NAME</t>
  </si>
  <si>
    <t>HINDI</t>
  </si>
  <si>
    <t>ENGLISH</t>
  </si>
  <si>
    <t>MATHS</t>
  </si>
  <si>
    <t>SCI</t>
  </si>
  <si>
    <t>SST</t>
  </si>
  <si>
    <t>TOTAL</t>
  </si>
  <si>
    <t>VIJAY</t>
  </si>
  <si>
    <t>RAM</t>
  </si>
  <si>
    <t>SYAM</t>
  </si>
  <si>
    <t>MOHIT</t>
  </si>
  <si>
    <t>VINNY</t>
  </si>
  <si>
    <t>VIKKY</t>
  </si>
  <si>
    <t>POOJA</t>
  </si>
  <si>
    <t>NEETU</t>
  </si>
  <si>
    <t>NIKITA</t>
  </si>
  <si>
    <t>BHOLU</t>
  </si>
  <si>
    <t>RAJ</t>
  </si>
  <si>
    <t>STUDENTS NAME</t>
  </si>
  <si>
    <t>GRADE</t>
  </si>
  <si>
    <t>CONDITIONAL FORMAT WITH CODE</t>
  </si>
  <si>
    <t>CELL STYLES</t>
  </si>
  <si>
    <t>CONDITIONAL FORMAT</t>
  </si>
  <si>
    <t>Varun</t>
  </si>
  <si>
    <t>Vikram</t>
  </si>
  <si>
    <t>Siya</t>
  </si>
  <si>
    <t>Garima</t>
  </si>
  <si>
    <t>Hitesh</t>
  </si>
  <si>
    <t>Abhishek</t>
  </si>
  <si>
    <t>Viren</t>
  </si>
  <si>
    <t>E</t>
  </si>
  <si>
    <t>EMP ID</t>
  </si>
  <si>
    <t>EMP NAME</t>
  </si>
  <si>
    <t>EM-001</t>
  </si>
  <si>
    <t>EM-002</t>
  </si>
  <si>
    <t>EM-003</t>
  </si>
  <si>
    <t>EM-004</t>
  </si>
  <si>
    <t>EM-005</t>
  </si>
  <si>
    <t>EM-006</t>
  </si>
  <si>
    <t>EM-007</t>
  </si>
  <si>
    <t>EM-008</t>
  </si>
  <si>
    <t>EM-009</t>
  </si>
  <si>
    <t>EM-010</t>
  </si>
  <si>
    <t>EM-011</t>
  </si>
  <si>
    <t>EM-012</t>
  </si>
  <si>
    <t>EM-013</t>
  </si>
  <si>
    <t>EM-014</t>
  </si>
  <si>
    <t>EM-015</t>
  </si>
  <si>
    <t>EM-016</t>
  </si>
  <si>
    <t>EM-017</t>
  </si>
  <si>
    <t>EM-018</t>
  </si>
  <si>
    <t>EM-019</t>
  </si>
  <si>
    <t>EM-020</t>
  </si>
  <si>
    <t>YEAR</t>
  </si>
  <si>
    <t>MONTH</t>
  </si>
  <si>
    <r>
      <rPr>
        <sz val="18"/>
        <color theme="1"/>
        <rFont val="Archivo Black"/>
        <family val="2"/>
      </rPr>
      <t>GADA ELECTRONIC PVT. LTD.</t>
    </r>
    <r>
      <rPr>
        <sz val="11"/>
        <color theme="1"/>
        <rFont val="Calibri"/>
        <family val="2"/>
        <scheme val="minor"/>
      </rPr>
      <t xml:space="preserve">
GST NO - </t>
    </r>
    <r>
      <rPr>
        <b/>
        <sz val="11"/>
        <color theme="1"/>
        <rFont val="Calibri"/>
        <family val="2"/>
        <scheme val="minor"/>
      </rPr>
      <t>2340SDFL2304WS3</t>
    </r>
    <r>
      <rPr>
        <sz val="11"/>
        <color theme="1"/>
        <rFont val="Calibri"/>
        <family val="2"/>
        <scheme val="minor"/>
      </rPr>
      <t xml:space="preserve">
MAIN THANA CHOWK NEAR POLICE CHOWKY
KHARKHODA (SONIPAT)</t>
    </r>
  </si>
  <si>
    <t>SALARY SLIP</t>
  </si>
  <si>
    <t>Present</t>
  </si>
  <si>
    <t>Abusent</t>
  </si>
  <si>
    <t>Total paybal day</t>
  </si>
  <si>
    <t>SALARY DABITS</t>
  </si>
  <si>
    <t>SALARY CRIDIT</t>
  </si>
  <si>
    <t>PROGEION FUND</t>
  </si>
  <si>
    <t>SCURITY FUND</t>
  </si>
  <si>
    <t>INCORENCE</t>
  </si>
  <si>
    <t>HRA</t>
  </si>
  <si>
    <t>DA</t>
  </si>
  <si>
    <t>TA</t>
  </si>
  <si>
    <t>TOTAL SALARY IN HAND</t>
  </si>
  <si>
    <t>MR. JATHALAL GADA</t>
  </si>
  <si>
    <t>GADA ELECTRONIC PVT. LTD.</t>
  </si>
  <si>
    <t>date</t>
  </si>
  <si>
    <t>item id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</si>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</sst>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[$-F400]h:mm:ss\ AM/PM"/>
    <numFmt numFmtId="167" formatCode="_ [$₹-4009]\ * #,##0.00_ ;_ [$₹-4009]\ * \-#,##0.00_ ;_ [$₹-4009]\ * &quot;-&quot;??_ ;_ @_ "/>
    <numFmt numFmtId="168" formatCode="dd"/>
    <numFmt numFmtId="169" formatCode="dd\ mmm"/>
    <numFmt numFmtId="170" formatCode="[Blue][&gt;=50]0;[Red][&lt;50]0"/>
  </numFmts>
  <fonts count="34" x14ac:knownFonts="1">
    <font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36"/>
      <color rgb="FF0070C0"/>
      <name val="Calibri"/>
      <family val="2"/>
      <scheme val="minor"/>
    </font>
    <font>
      <sz val="48"/>
      <color theme="9" tint="-0.249977111117893"/>
      <name val="Calibri"/>
      <family val="2"/>
      <scheme val="minor"/>
    </font>
    <font>
      <sz val="48"/>
      <color rgb="FFFF0000"/>
      <name val="Calibri"/>
      <family val="2"/>
      <scheme val="minor"/>
    </font>
    <font>
      <sz val="72"/>
      <color theme="1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48"/>
      <color theme="9" tint="0.39997558519241921"/>
      <name val="Calibri"/>
      <family val="2"/>
      <scheme val="minor"/>
    </font>
    <font>
      <sz val="48"/>
      <color theme="5" tint="0.59999389629810485"/>
      <name val="Calibri"/>
      <family val="2"/>
      <scheme val="minor"/>
    </font>
    <font>
      <sz val="24"/>
      <color theme="3" tint="0.39997558519241921"/>
      <name val="Calibri"/>
      <family val="2"/>
      <scheme val="minor"/>
    </font>
    <font>
      <sz val="4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72"/>
      <color rgb="FFFF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Archivo Black"/>
      <family val="2"/>
    </font>
    <font>
      <sz val="20"/>
      <color theme="1"/>
      <name val="Bodoni MT Black"/>
      <family val="1"/>
    </font>
  </fonts>
  <fills count="3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66FF3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188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0" fillId="11" borderId="1" xfId="0" applyFill="1" applyBorder="1"/>
    <xf numFmtId="0" fontId="0" fillId="0" borderId="5" xfId="0" applyBorder="1"/>
    <xf numFmtId="0" fontId="0" fillId="12" borderId="0" xfId="0" applyFill="1"/>
    <xf numFmtId="0" fontId="0" fillId="13" borderId="0" xfId="0" applyFill="1"/>
    <xf numFmtId="0" fontId="0" fillId="0" borderId="0" xfId="0" applyAlignment="1">
      <alignment wrapText="1"/>
    </xf>
    <xf numFmtId="0" fontId="0" fillId="15" borderId="1" xfId="0" applyFill="1" applyBorder="1"/>
    <xf numFmtId="0" fontId="0" fillId="11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9" fontId="0" fillId="0" borderId="1" xfId="0" applyNumberFormat="1" applyBorder="1"/>
    <xf numFmtId="0" fontId="0" fillId="5" borderId="1" xfId="0" applyFill="1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6" fillId="6" borderId="1" xfId="0" applyFont="1" applyFill="1" applyBorder="1"/>
    <xf numFmtId="0" fontId="0" fillId="6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14" fontId="0" fillId="0" borderId="0" xfId="0" applyNumberFormat="1"/>
    <xf numFmtId="0" fontId="17" fillId="9" borderId="1" xfId="0" applyFont="1" applyFill="1" applyBorder="1" applyAlignment="1">
      <alignment horizontal="center"/>
    </xf>
    <xf numFmtId="0" fontId="17" fillId="8" borderId="1" xfId="0" applyFont="1" applyFill="1" applyBorder="1" applyAlignment="1">
      <alignment horizontal="center"/>
    </xf>
    <xf numFmtId="0" fontId="0" fillId="22" borderId="1" xfId="0" applyFill="1" applyBorder="1" applyAlignment="1">
      <alignment horizontal="center"/>
    </xf>
    <xf numFmtId="0" fontId="0" fillId="23" borderId="1" xfId="0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168" fontId="0" fillId="5" borderId="1" xfId="0" applyNumberFormat="1" applyFill="1" applyBorder="1"/>
    <xf numFmtId="0" fontId="0" fillId="9" borderId="1" xfId="0" applyFill="1" applyBorder="1" applyAlignment="1">
      <alignment horizontal="center"/>
    </xf>
    <xf numFmtId="0" fontId="0" fillId="21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7" fillId="20" borderId="1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0" fillId="15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horizontal="center" vertical="center"/>
    </xf>
    <xf numFmtId="0" fontId="2" fillId="24" borderId="1" xfId="0" applyFont="1" applyFill="1" applyBorder="1" applyAlignment="1">
      <alignment horizontal="center" vertical="center"/>
    </xf>
    <xf numFmtId="0" fontId="2" fillId="23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17" fillId="12" borderId="1" xfId="0" applyFont="1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0" fillId="26" borderId="1" xfId="0" applyFill="1" applyBorder="1" applyAlignment="1">
      <alignment horizontal="center" vertical="center"/>
    </xf>
    <xf numFmtId="0" fontId="0" fillId="23" borderId="1" xfId="0" applyFill="1" applyBorder="1" applyAlignment="1">
      <alignment horizontal="center" vertical="center"/>
    </xf>
    <xf numFmtId="0" fontId="0" fillId="21" borderId="1" xfId="0" applyFill="1" applyBorder="1" applyAlignment="1">
      <alignment horizontal="center" vertical="center"/>
    </xf>
    <xf numFmtId="167" fontId="0" fillId="0" borderId="0" xfId="0" applyNumberFormat="1" applyAlignment="1">
      <alignment horizontal="center"/>
    </xf>
    <xf numFmtId="9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19" fillId="17" borderId="1" xfId="0" applyFont="1" applyFill="1" applyBorder="1" applyAlignment="1">
      <alignment horizontal="center" vertical="center"/>
    </xf>
    <xf numFmtId="0" fontId="19" fillId="9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0" fillId="25" borderId="1" xfId="0" applyFill="1" applyBorder="1" applyAlignment="1">
      <alignment horizontal="center" vertical="center"/>
    </xf>
    <xf numFmtId="0" fontId="22" fillId="8" borderId="1" xfId="1" applyFill="1" applyBorder="1" applyAlignment="1" applyProtection="1">
      <alignment horizontal="center" vertical="center"/>
    </xf>
    <xf numFmtId="0" fontId="22" fillId="8" borderId="1" xfId="1" quotePrefix="1" applyFill="1" applyBorder="1" applyAlignment="1" applyProtection="1">
      <alignment horizontal="center" vertical="center"/>
    </xf>
    <xf numFmtId="0" fontId="0" fillId="8" borderId="1" xfId="0" applyFill="1" applyBorder="1"/>
    <xf numFmtId="14" fontId="2" fillId="0" borderId="1" xfId="0" applyNumberFormat="1" applyFont="1" applyBorder="1" applyAlignment="1">
      <alignment horizontal="center"/>
    </xf>
    <xf numFmtId="22" fontId="2" fillId="0" borderId="1" xfId="0" applyNumberFormat="1" applyFont="1" applyBorder="1" applyAlignment="1">
      <alignment horizontal="center"/>
    </xf>
    <xf numFmtId="18" fontId="2" fillId="0" borderId="1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23" fillId="15" borderId="1" xfId="0" applyFont="1" applyFill="1" applyBorder="1" applyAlignment="1">
      <alignment vertical="center"/>
    </xf>
    <xf numFmtId="0" fontId="23" fillId="15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167" fontId="2" fillId="0" borderId="1" xfId="0" applyNumberFormat="1" applyFont="1" applyBorder="1"/>
    <xf numFmtId="0" fontId="2" fillId="27" borderId="5" xfId="0" applyFont="1" applyFill="1" applyBorder="1"/>
    <xf numFmtId="0" fontId="2" fillId="27" borderId="1" xfId="0" applyFont="1" applyFill="1" applyBorder="1"/>
    <xf numFmtId="14" fontId="2" fillId="13" borderId="1" xfId="0" applyNumberFormat="1" applyFont="1" applyFill="1" applyBorder="1" applyAlignment="1">
      <alignment horizontal="center"/>
    </xf>
    <xf numFmtId="14" fontId="2" fillId="28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4" fontId="26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6" fillId="27" borderId="1" xfId="0" applyFont="1" applyFill="1" applyBorder="1" applyAlignment="1">
      <alignment horizontal="center" vertical="center"/>
    </xf>
    <xf numFmtId="14" fontId="16" fillId="5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1" borderId="1" xfId="0" applyFont="1" applyFill="1" applyBorder="1" applyAlignment="1">
      <alignment horizontal="center" vertical="center"/>
    </xf>
    <xf numFmtId="0" fontId="16" fillId="19" borderId="7" xfId="0" applyFont="1" applyFill="1" applyBorder="1" applyAlignment="1">
      <alignment horizontal="center" vertical="center"/>
    </xf>
    <xf numFmtId="0" fontId="16" fillId="19" borderId="8" xfId="0" applyFont="1" applyFill="1" applyBorder="1" applyAlignment="1">
      <alignment horizontal="center" vertical="center"/>
    </xf>
    <xf numFmtId="0" fontId="16" fillId="19" borderId="9" xfId="0" applyFont="1" applyFill="1" applyBorder="1" applyAlignment="1">
      <alignment horizontal="center" vertical="center"/>
    </xf>
    <xf numFmtId="0" fontId="16" fillId="17" borderId="10" xfId="0" applyFont="1" applyFill="1" applyBorder="1" applyAlignment="1">
      <alignment horizontal="center" vertical="center"/>
    </xf>
    <xf numFmtId="0" fontId="16" fillId="11" borderId="11" xfId="0" applyFont="1" applyFill="1" applyBorder="1" applyAlignment="1">
      <alignment horizontal="center" vertical="center"/>
    </xf>
    <xf numFmtId="0" fontId="16" fillId="17" borderId="12" xfId="0" applyFont="1" applyFill="1" applyBorder="1" applyAlignment="1">
      <alignment horizontal="center" vertical="center"/>
    </xf>
    <xf numFmtId="14" fontId="16" fillId="5" borderId="13" xfId="0" applyNumberFormat="1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6" fillId="21" borderId="13" xfId="0" applyFont="1" applyFill="1" applyBorder="1" applyAlignment="1">
      <alignment horizontal="center" vertical="center"/>
    </xf>
    <xf numFmtId="0" fontId="16" fillId="11" borderId="14" xfId="0" applyFont="1" applyFill="1" applyBorder="1" applyAlignment="1">
      <alignment horizontal="center" vertical="center"/>
    </xf>
    <xf numFmtId="14" fontId="2" fillId="0" borderId="0" xfId="0" quotePrefix="1" applyNumberFormat="1" applyFont="1" applyAlignment="1">
      <alignment horizontal="center"/>
    </xf>
    <xf numFmtId="18" fontId="2" fillId="0" borderId="0" xfId="0" applyNumberFormat="1" applyFont="1" applyAlignment="1">
      <alignment horizontal="center"/>
    </xf>
    <xf numFmtId="22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2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30" borderId="1" xfId="0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14" fontId="2" fillId="0" borderId="0" xfId="0" applyNumberFormat="1" applyFont="1"/>
    <xf numFmtId="0" fontId="0" fillId="12" borderId="1" xfId="0" applyFill="1" applyBorder="1"/>
    <xf numFmtId="0" fontId="30" fillId="2" borderId="1" xfId="0" applyFont="1" applyFill="1" applyBorder="1" applyAlignment="1">
      <alignment horizontal="center"/>
    </xf>
    <xf numFmtId="0" fontId="30" fillId="12" borderId="1" xfId="0" applyFont="1" applyFill="1" applyBorder="1" applyAlignment="1">
      <alignment horizontal="center"/>
    </xf>
    <xf numFmtId="170" fontId="31" fillId="0" borderId="1" xfId="0" applyNumberFormat="1" applyFont="1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14" fontId="16" fillId="0" borderId="1" xfId="0" applyNumberFormat="1" applyFont="1" applyBorder="1" applyAlignment="1">
      <alignment horizontal="center" vertical="center"/>
    </xf>
    <xf numFmtId="0" fontId="18" fillId="1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11" borderId="1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/>
    </xf>
    <xf numFmtId="0" fontId="10" fillId="16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11" fillId="18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165" fontId="0" fillId="12" borderId="1" xfId="0" applyNumberForma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169" fontId="0" fillId="15" borderId="1" xfId="0" applyNumberFormat="1" applyFill="1" applyBorder="1" applyAlignment="1">
      <alignment horizontal="center"/>
    </xf>
    <xf numFmtId="169" fontId="0" fillId="15" borderId="1" xfId="0" applyNumberForma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24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6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3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1" fillId="14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3">
    <dxf>
      <font>
        <color rgb="FFFF0000"/>
      </font>
      <fill>
        <gradientFill degree="90">
          <stop position="0">
            <color rgb="FFFFFF00"/>
          </stop>
          <stop position="1">
            <color theme="4"/>
          </stop>
        </gradient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B10F60"/>
      <color rgb="FF66FF33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INDEX FOR ALL SHEET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INDEX FOR ALL SHEETS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INDEX FOR ALL SHEETS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INDEX FOR ALL SHEETS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INDEX FOR ALL SHEETS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INDEX FOR ALL SHEETS'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INDEX FOR ALL SHEETS'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INDEX FOR ALL SHEETS'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INDEX FOR ALL SHEETS'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'INDEX FOR ALL SHEETS'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'INDEX FOR ALL SHEETS'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'INDEX FOR ALL SHEETS'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'INDEX FOR ALL SHEETS'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'INDEX FOR ALL SHEETS'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'INDEX FOR ALL SHEETS'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'INDEX FOR ALL SHEETS'!A1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29380</xdr:colOff>
      <xdr:row>0</xdr:row>
      <xdr:rowOff>136023</xdr:rowOff>
    </xdr:from>
    <xdr:ext cx="674210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38980" y="136023"/>
          <a:ext cx="6742102" cy="937629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INDEX</a:t>
          </a:r>
          <a:r>
            <a:rPr lang="en-US" sz="5400" b="1" cap="none" spc="0" baseline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 FOR ALL SHEETS</a:t>
          </a:r>
          <a:endParaRPr lang="en-US" sz="5400" b="1" cap="none" spc="0">
            <a:ln w="12700">
              <a:solidFill>
                <a:schemeClr val="tx2">
                  <a:lumMod val="75000"/>
                </a:schemeClr>
              </a:solidFill>
              <a:prstDash val="solid"/>
            </a:ln>
            <a:pattFill prst="dkUpDiag">
              <a:fgClr>
                <a:schemeClr val="tx2"/>
              </a:fgClr>
              <a:bgClr>
                <a:schemeClr val="tx2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5</xdr:col>
      <xdr:colOff>19050</xdr:colOff>
      <xdr:row>5</xdr:row>
      <xdr:rowOff>180975</xdr:rowOff>
    </xdr:from>
    <xdr:to>
      <xdr:col>7</xdr:col>
      <xdr:colOff>762590</xdr:colOff>
      <xdr:row>15</xdr:row>
      <xdr:rowOff>95840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3AF1F07-1FDC-49FE-A33D-25F4D8ECB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675" y="1133475"/>
          <a:ext cx="1962740" cy="19627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1522349</xdr:colOff>
      <xdr:row>1</xdr:row>
      <xdr:rowOff>19589</xdr:rowOff>
    </xdr:from>
    <xdr:ext cx="4090159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131949" y="286289"/>
          <a:ext cx="409015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7780" cmpd="sng">
                <a:solidFill>
                  <a:schemeClr val="accent1">
                    <a:tint val="3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63000"/>
                      <a:sat val="105000"/>
                    </a:schemeClr>
                  </a:gs>
                  <a:gs pos="90000">
                    <a:schemeClr val="accent1">
                      <a:shade val="50000"/>
                      <a:satMod val="100000"/>
                    </a:schemeClr>
                  </a:gs>
                </a:gsLst>
                <a:lin ang="5400000"/>
              </a:gradFill>
              <a:effectLst>
                <a:outerShdw blurRad="55000" dist="50800" dir="5400000" algn="tl">
                  <a:srgbClr val="000000">
                    <a:alpha val="33000"/>
                  </a:srgbClr>
                </a:outerShdw>
              </a:effectLst>
            </a:rPr>
            <a:t>Excel</a:t>
          </a:r>
          <a:r>
            <a:rPr lang="en-US" sz="5400" b="1" cap="none" spc="0" baseline="0">
              <a:ln w="17780" cmpd="sng">
                <a:solidFill>
                  <a:schemeClr val="accent1">
                    <a:tint val="3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63000"/>
                      <a:sat val="105000"/>
                    </a:schemeClr>
                  </a:gs>
                  <a:gs pos="90000">
                    <a:schemeClr val="accent1">
                      <a:shade val="50000"/>
                      <a:satMod val="100000"/>
                    </a:schemeClr>
                  </a:gs>
                </a:gsLst>
                <a:lin ang="5400000"/>
              </a:gradFill>
              <a:effectLst>
                <a:outerShdw blurRad="55000" dist="50800" dir="5400000" algn="tl">
                  <a:srgbClr val="000000">
                    <a:alpha val="33000"/>
                  </a:srgbClr>
                </a:outerShdw>
              </a:effectLst>
            </a:rPr>
            <a:t> formula</a:t>
          </a:r>
          <a:endParaRPr lang="en-US" sz="5400" b="1" cap="none" spc="0">
            <a:ln w="17780" cmpd="sng">
              <a:solidFill>
                <a:schemeClr val="accent1">
                  <a:tint val="3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63000"/>
                    <a:sat val="105000"/>
                  </a:schemeClr>
                </a:gs>
                <a:gs pos="90000">
                  <a:schemeClr val="accent1">
                    <a:shade val="50000"/>
                    <a:satMod val="100000"/>
                  </a:schemeClr>
                </a:gs>
              </a:gsLst>
              <a:lin ang="5400000"/>
            </a:gradFill>
            <a:effectLst>
              <a:outerShdw blurRad="55000" dist="50800" dir="5400000" algn="tl">
                <a:srgbClr val="000000">
                  <a:alpha val="33000"/>
                </a:srgbClr>
              </a:outerShdw>
            </a:effectLst>
          </a:endParaRPr>
        </a:p>
      </xdr:txBody>
    </xdr:sp>
    <xdr:clientData/>
  </xdr:oneCellAnchor>
  <xdr:twoCellAnchor>
    <xdr:from>
      <xdr:col>0</xdr:col>
      <xdr:colOff>333375</xdr:colOff>
      <xdr:row>0</xdr:row>
      <xdr:rowOff>161925</xdr:rowOff>
    </xdr:from>
    <xdr:to>
      <xdr:col>1</xdr:col>
      <xdr:colOff>819150</xdr:colOff>
      <xdr:row>4</xdr:row>
      <xdr:rowOff>47625</xdr:rowOff>
    </xdr:to>
    <xdr:sp macro="" textlink="">
      <xdr:nvSpPr>
        <xdr:cNvPr id="3" name="8-Point Star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33375" y="161925"/>
          <a:ext cx="1095375" cy="952500"/>
        </a:xfrm>
        <a:prstGeom prst="star8">
          <a:avLst>
            <a:gd name="adj" fmla="val 33500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rgbClr val="FFFF00"/>
              </a:solidFill>
              <a:latin typeface="Lucida Handwriting" pitchFamily="66" charset="0"/>
            </a:rPr>
            <a:t>INDEX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779399</xdr:colOff>
      <xdr:row>0</xdr:row>
      <xdr:rowOff>124364</xdr:rowOff>
    </xdr:from>
    <xdr:ext cx="8242000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188974" y="124364"/>
          <a:ext cx="824200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</a:rPr>
            <a:t>INT STUDENT'S</a:t>
          </a:r>
          <a:r>
            <a:rPr lang="en-US" sz="5400" b="1" cap="none" spc="0" baseline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</a:rPr>
            <a:t> MARKSHEET</a:t>
          </a:r>
          <a:endParaRPr lang="en-US" sz="5400" b="1" cap="none" spc="0">
            <a:ln w="31550" cmpd="sng">
              <a:gradFill>
                <a:gsLst>
                  <a:gs pos="25000">
                    <a:schemeClr val="accent1">
                      <a:shade val="25000"/>
                      <a:satMod val="190000"/>
                    </a:schemeClr>
                  </a:gs>
                  <a:gs pos="80000">
                    <a:schemeClr val="accent1">
                      <a:tint val="75000"/>
                      <a:satMod val="190000"/>
                    </a:schemeClr>
                  </a:gs>
                </a:gsLst>
                <a:lin ang="5400000"/>
              </a:gradFill>
              <a:prstDash val="solid"/>
            </a:ln>
            <a:solidFill>
              <a:srgbClr val="FFFFFF"/>
            </a:solidFill>
            <a:effectLst>
              <a:outerShdw blurRad="41275" dist="12700" dir="120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twoCellAnchor>
    <xdr:from>
      <xdr:col>0</xdr:col>
      <xdr:colOff>0</xdr:colOff>
      <xdr:row>0</xdr:row>
      <xdr:rowOff>0</xdr:rowOff>
    </xdr:from>
    <xdr:to>
      <xdr:col>1</xdr:col>
      <xdr:colOff>685800</xdr:colOff>
      <xdr:row>5</xdr:row>
      <xdr:rowOff>0</xdr:rowOff>
    </xdr:to>
    <xdr:sp macro="" textlink="">
      <xdr:nvSpPr>
        <xdr:cNvPr id="3" name="8-Point Star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0" y="0"/>
          <a:ext cx="1095375" cy="952500"/>
        </a:xfrm>
        <a:prstGeom prst="star8">
          <a:avLst>
            <a:gd name="adj" fmla="val 33500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rgbClr val="FFFF00"/>
              </a:solidFill>
              <a:latin typeface="Lucida Handwriting" pitchFamily="66" charset="0"/>
            </a:rPr>
            <a:t>INDEX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531749</xdr:colOff>
      <xdr:row>1</xdr:row>
      <xdr:rowOff>143414</xdr:rowOff>
    </xdr:from>
    <xdr:ext cx="2940036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31749" y="333914"/>
          <a:ext cx="2940036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AVERAGE</a:t>
          </a:r>
        </a:p>
      </xdr:txBody>
    </xdr:sp>
    <xdr:clientData/>
  </xdr:oneCellAnchor>
  <xdr:oneCellAnchor>
    <xdr:from>
      <xdr:col>9</xdr:col>
      <xdr:colOff>534924</xdr:colOff>
      <xdr:row>1</xdr:row>
      <xdr:rowOff>86264</xdr:rowOff>
    </xdr:from>
    <xdr:ext cx="3410935" cy="937629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335649" y="86264"/>
          <a:ext cx="3410935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en-US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AVERAGEA</a:t>
          </a:r>
        </a:p>
      </xdr:txBody>
    </xdr:sp>
    <xdr:clientData/>
  </xdr:oneCellAnchor>
  <xdr:oneCellAnchor>
    <xdr:from>
      <xdr:col>1</xdr:col>
      <xdr:colOff>17399</xdr:colOff>
      <xdr:row>15</xdr:row>
      <xdr:rowOff>38639</xdr:rowOff>
    </xdr:from>
    <xdr:ext cx="3442482" cy="937629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579374" y="2705639"/>
          <a:ext cx="344248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sz="54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AVERAGEIF</a:t>
          </a:r>
        </a:p>
      </xdr:txBody>
    </xdr:sp>
    <xdr:clientData/>
  </xdr:oneCellAnchor>
  <xdr:oneCellAnchor>
    <xdr:from>
      <xdr:col>10</xdr:col>
      <xdr:colOff>274574</xdr:colOff>
      <xdr:row>15</xdr:row>
      <xdr:rowOff>10064</xdr:rowOff>
    </xdr:from>
    <xdr:ext cx="3769815" cy="937629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6875399" y="2677064"/>
          <a:ext cx="3769815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AVERAGEIFS</a:t>
          </a:r>
        </a:p>
      </xdr:txBody>
    </xdr:sp>
    <xdr:clientData/>
  </xdr:oneCellAnchor>
  <xdr:twoCellAnchor>
    <xdr:from>
      <xdr:col>6</xdr:col>
      <xdr:colOff>409575</xdr:colOff>
      <xdr:row>1</xdr:row>
      <xdr:rowOff>28575</xdr:rowOff>
    </xdr:from>
    <xdr:to>
      <xdr:col>8</xdr:col>
      <xdr:colOff>285750</xdr:colOff>
      <xdr:row>6</xdr:row>
      <xdr:rowOff>28575</xdr:rowOff>
    </xdr:to>
    <xdr:sp macro="" textlink="">
      <xdr:nvSpPr>
        <xdr:cNvPr id="7" name="8-Point Star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4572000" y="219075"/>
          <a:ext cx="1095375" cy="952500"/>
        </a:xfrm>
        <a:prstGeom prst="star8">
          <a:avLst>
            <a:gd name="adj" fmla="val 33500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rgbClr val="FFFF00"/>
              </a:solidFill>
              <a:latin typeface="Lucida Handwriting" pitchFamily="66" charset="0"/>
            </a:rPr>
            <a:t>INDEX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293624</xdr:colOff>
      <xdr:row>0</xdr:row>
      <xdr:rowOff>0</xdr:rowOff>
    </xdr:from>
    <xdr:ext cx="5083508" cy="937629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2865374" y="0"/>
          <a:ext cx="508350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INDEX FORMULA</a:t>
          </a:r>
        </a:p>
      </xdr:txBody>
    </xdr:sp>
    <xdr:clientData/>
  </xdr:oneCellAnchor>
  <xdr:oneCellAnchor>
    <xdr:from>
      <xdr:col>6</xdr:col>
      <xdr:colOff>436499</xdr:colOff>
      <xdr:row>31</xdr:row>
      <xdr:rowOff>133889</xdr:rowOff>
    </xdr:from>
    <xdr:ext cx="3154774" cy="937629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4036949" y="6239414"/>
          <a:ext cx="315477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</a:rPr>
            <a:t>FORECAST</a:t>
          </a:r>
        </a:p>
      </xdr:txBody>
    </xdr:sp>
    <xdr:clientData/>
  </xdr:oneCellAnchor>
  <xdr:twoCellAnchor>
    <xdr:from>
      <xdr:col>0</xdr:col>
      <xdr:colOff>0</xdr:colOff>
      <xdr:row>0</xdr:row>
      <xdr:rowOff>38100</xdr:rowOff>
    </xdr:from>
    <xdr:to>
      <xdr:col>1</xdr:col>
      <xdr:colOff>485775</xdr:colOff>
      <xdr:row>5</xdr:row>
      <xdr:rowOff>38100</xdr:rowOff>
    </xdr:to>
    <xdr:sp macro="" textlink="">
      <xdr:nvSpPr>
        <xdr:cNvPr id="5" name="8-Point Star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0" y="38100"/>
          <a:ext cx="1095375" cy="952500"/>
        </a:xfrm>
        <a:prstGeom prst="star8">
          <a:avLst>
            <a:gd name="adj" fmla="val 33500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rgbClr val="FFFF00"/>
              </a:solidFill>
              <a:latin typeface="Lucida Handwriting" pitchFamily="66" charset="0"/>
            </a:rPr>
            <a:t>INDEX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322199</xdr:colOff>
      <xdr:row>0</xdr:row>
      <xdr:rowOff>105314</xdr:rowOff>
    </xdr:from>
    <xdr:ext cx="7122848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2760599" y="105314"/>
          <a:ext cx="712284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9050">
                <a:solidFill>
                  <a:schemeClr val="tx2">
                    <a:tint val="1000"/>
                  </a:schemeClr>
                </a:solidFill>
                <a:prstDash val="solid"/>
              </a:ln>
              <a:solidFill>
                <a:schemeClr val="accent3"/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</a:rPr>
            <a:t>DATA BASE FUNCTION'S</a:t>
          </a:r>
        </a:p>
      </xdr:txBody>
    </xdr:sp>
    <xdr:clientData/>
  </xdr:oneCellAnchor>
  <xdr:twoCellAnchor>
    <xdr:from>
      <xdr:col>0</xdr:col>
      <xdr:colOff>171450</xdr:colOff>
      <xdr:row>0</xdr:row>
      <xdr:rowOff>133350</xdr:rowOff>
    </xdr:from>
    <xdr:to>
      <xdr:col>1</xdr:col>
      <xdr:colOff>657225</xdr:colOff>
      <xdr:row>5</xdr:row>
      <xdr:rowOff>133350</xdr:rowOff>
    </xdr:to>
    <xdr:sp macro="" textlink="">
      <xdr:nvSpPr>
        <xdr:cNvPr id="3" name="8-Point Star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71450" y="133350"/>
          <a:ext cx="1095375" cy="952500"/>
        </a:xfrm>
        <a:prstGeom prst="star8">
          <a:avLst>
            <a:gd name="adj" fmla="val 33500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rgbClr val="FFFF00"/>
              </a:solidFill>
              <a:latin typeface="Lucida Handwriting" pitchFamily="66" charset="0"/>
            </a:rPr>
            <a:t>INDEX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169799</xdr:colOff>
      <xdr:row>1</xdr:row>
      <xdr:rowOff>19589</xdr:rowOff>
    </xdr:from>
    <xdr:ext cx="925375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779399" y="210089"/>
          <a:ext cx="925375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en-US" sz="54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EMI AND BANKING FORMULA'S</a:t>
          </a:r>
        </a:p>
      </xdr:txBody>
    </xdr:sp>
    <xdr:clientData/>
  </xdr:oneCellAnchor>
  <xdr:twoCellAnchor>
    <xdr:from>
      <xdr:col>0</xdr:col>
      <xdr:colOff>257175</xdr:colOff>
      <xdr:row>6</xdr:row>
      <xdr:rowOff>104775</xdr:rowOff>
    </xdr:from>
    <xdr:to>
      <xdr:col>2</xdr:col>
      <xdr:colOff>133350</xdr:colOff>
      <xdr:row>11</xdr:row>
      <xdr:rowOff>104775</xdr:rowOff>
    </xdr:to>
    <xdr:sp macro="" textlink="">
      <xdr:nvSpPr>
        <xdr:cNvPr id="3" name="8-Point Star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257175" y="1247775"/>
          <a:ext cx="1095375" cy="952500"/>
        </a:xfrm>
        <a:prstGeom prst="star8">
          <a:avLst>
            <a:gd name="adj" fmla="val 33500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rgbClr val="FFFF00"/>
              </a:solidFill>
              <a:latin typeface="Lucida Handwriting" pitchFamily="66" charset="0"/>
            </a:rPr>
            <a:t>INDEX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398399</xdr:colOff>
      <xdr:row>0</xdr:row>
      <xdr:rowOff>95789</xdr:rowOff>
    </xdr:from>
    <xdr:ext cx="3023008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617599" y="95789"/>
          <a:ext cx="302300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VLOOKUP</a:t>
          </a:r>
        </a:p>
      </xdr:txBody>
    </xdr:sp>
    <xdr:clientData/>
  </xdr:oneCellAnchor>
  <xdr:oneCellAnchor>
    <xdr:from>
      <xdr:col>3</xdr:col>
      <xdr:colOff>312674</xdr:colOff>
      <xdr:row>20</xdr:row>
      <xdr:rowOff>133889</xdr:rowOff>
    </xdr:from>
    <xdr:ext cx="3050387" cy="937629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941449" y="3943889"/>
          <a:ext cx="305038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7780" cmpd="sng">
                <a:solidFill>
                  <a:schemeClr val="accent1">
                    <a:tint val="3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63000"/>
                      <a:sat val="105000"/>
                    </a:schemeClr>
                  </a:gs>
                  <a:gs pos="90000">
                    <a:schemeClr val="accent1">
                      <a:shade val="50000"/>
                      <a:satMod val="100000"/>
                    </a:schemeClr>
                  </a:gs>
                </a:gsLst>
                <a:lin ang="5400000"/>
              </a:gradFill>
              <a:effectLst>
                <a:outerShdw blurRad="55000" dist="50800" dir="5400000" algn="tl">
                  <a:srgbClr val="000000">
                    <a:alpha val="33000"/>
                  </a:srgbClr>
                </a:outerShdw>
              </a:effectLst>
            </a:rPr>
            <a:t>HLOOKUP</a:t>
          </a:r>
        </a:p>
      </xdr:txBody>
    </xdr:sp>
    <xdr:clientData/>
  </xdr:oneCellAnchor>
  <xdr:oneCellAnchor>
    <xdr:from>
      <xdr:col>4</xdr:col>
      <xdr:colOff>7874</xdr:colOff>
      <xdr:row>41</xdr:row>
      <xdr:rowOff>152939</xdr:rowOff>
    </xdr:from>
    <xdr:ext cx="2355709" cy="937629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2227199" y="7963439"/>
          <a:ext cx="235570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MATCH</a:t>
          </a:r>
        </a:p>
      </xdr:txBody>
    </xdr:sp>
    <xdr:clientData/>
  </xdr:oneCellAnchor>
  <xdr:twoCellAnchor>
    <xdr:from>
      <xdr:col>0</xdr:col>
      <xdr:colOff>142875</xdr:colOff>
      <xdr:row>0</xdr:row>
      <xdr:rowOff>180975</xdr:rowOff>
    </xdr:from>
    <xdr:to>
      <xdr:col>2</xdr:col>
      <xdr:colOff>19050</xdr:colOff>
      <xdr:row>5</xdr:row>
      <xdr:rowOff>180975</xdr:rowOff>
    </xdr:to>
    <xdr:sp macro="" textlink="">
      <xdr:nvSpPr>
        <xdr:cNvPr id="5" name="8-Point Star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142875" y="180975"/>
          <a:ext cx="1095375" cy="952500"/>
        </a:xfrm>
        <a:prstGeom prst="star8">
          <a:avLst>
            <a:gd name="adj" fmla="val 33500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rgbClr val="FFFF00"/>
              </a:solidFill>
              <a:latin typeface="Lucida Handwriting" pitchFamily="66" charset="0"/>
            </a:rPr>
            <a:t>INDEX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30099</xdr:colOff>
      <xdr:row>0</xdr:row>
      <xdr:rowOff>76739</xdr:rowOff>
    </xdr:from>
    <xdr:ext cx="12752451" cy="1782924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30099" y="76739"/>
          <a:ext cx="12752451" cy="178292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en-US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VLOOKUP</a:t>
          </a:r>
          <a:r>
            <a:rPr lang="en-US" sz="5400" b="1" cap="none" spc="50" baseline="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 &amp; MATCH MIX FOR MORE DETAILS</a:t>
          </a:r>
          <a:endParaRPr lang="en-US" sz="5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twoCellAnchor>
    <xdr:from>
      <xdr:col>0</xdr:col>
      <xdr:colOff>0</xdr:colOff>
      <xdr:row>0</xdr:row>
      <xdr:rowOff>152400</xdr:rowOff>
    </xdr:from>
    <xdr:to>
      <xdr:col>1</xdr:col>
      <xdr:colOff>485775</xdr:colOff>
      <xdr:row>5</xdr:row>
      <xdr:rowOff>152400</xdr:rowOff>
    </xdr:to>
    <xdr:sp macro="" textlink="">
      <xdr:nvSpPr>
        <xdr:cNvPr id="3" name="8-Point Star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0" y="152400"/>
          <a:ext cx="1095375" cy="952500"/>
        </a:xfrm>
        <a:prstGeom prst="star8">
          <a:avLst>
            <a:gd name="adj" fmla="val 33500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rgbClr val="FFFF00"/>
              </a:solidFill>
              <a:latin typeface="Lucida Handwriting" pitchFamily="66" charset="0"/>
            </a:rPr>
            <a:t>INDEX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112649</xdr:colOff>
      <xdr:row>1</xdr:row>
      <xdr:rowOff>76739</xdr:rowOff>
    </xdr:from>
    <xdr:ext cx="2837380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2712974" y="267239"/>
          <a:ext cx="283738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Incentive</a:t>
          </a:r>
        </a:p>
      </xdr:txBody>
    </xdr:sp>
    <xdr:clientData/>
  </xdr:oneCellAnchor>
  <xdr:twoCellAnchor>
    <xdr:from>
      <xdr:col>0</xdr:col>
      <xdr:colOff>209550</xdr:colOff>
      <xdr:row>1</xdr:row>
      <xdr:rowOff>47625</xdr:rowOff>
    </xdr:from>
    <xdr:to>
      <xdr:col>2</xdr:col>
      <xdr:colOff>85725</xdr:colOff>
      <xdr:row>6</xdr:row>
      <xdr:rowOff>47625</xdr:rowOff>
    </xdr:to>
    <xdr:sp macro="" textlink="">
      <xdr:nvSpPr>
        <xdr:cNvPr id="3" name="8-Point Star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209550" y="238125"/>
          <a:ext cx="1095375" cy="952500"/>
        </a:xfrm>
        <a:prstGeom prst="star8">
          <a:avLst>
            <a:gd name="adj" fmla="val 33500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rgbClr val="FFFF00"/>
              </a:solidFill>
              <a:latin typeface="Lucida Handwriting" pitchFamily="66" charset="0"/>
            </a:rPr>
            <a:t>INDEX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1</xdr:col>
      <xdr:colOff>485775</xdr:colOff>
      <xdr:row>11</xdr:row>
      <xdr:rowOff>0</xdr:rowOff>
    </xdr:to>
    <xdr:sp macro="" textlink="">
      <xdr:nvSpPr>
        <xdr:cNvPr id="2" name="8-Point St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0" y="1143000"/>
          <a:ext cx="1095375" cy="952500"/>
        </a:xfrm>
        <a:prstGeom prst="star8">
          <a:avLst>
            <a:gd name="adj" fmla="val 33500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rgbClr val="FFFF00"/>
              </a:solidFill>
              <a:latin typeface="Lucida Handwriting" pitchFamily="66" charset="0"/>
            </a:rPr>
            <a:t>INDEX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769874</xdr:colOff>
      <xdr:row>1</xdr:row>
      <xdr:rowOff>19050</xdr:rowOff>
    </xdr:from>
    <xdr:ext cx="5524269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1989074" y="209550"/>
          <a:ext cx="552426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Age count formula</a:t>
          </a:r>
        </a:p>
      </xdr:txBody>
    </xdr:sp>
    <xdr:clientData/>
  </xdr:oneCellAnchor>
  <xdr:twoCellAnchor>
    <xdr:from>
      <xdr:col>0</xdr:col>
      <xdr:colOff>295275</xdr:colOff>
      <xdr:row>2</xdr:row>
      <xdr:rowOff>104775</xdr:rowOff>
    </xdr:from>
    <xdr:to>
      <xdr:col>2</xdr:col>
      <xdr:colOff>171450</xdr:colOff>
      <xdr:row>7</xdr:row>
      <xdr:rowOff>104775</xdr:rowOff>
    </xdr:to>
    <xdr:sp macro="" textlink="">
      <xdr:nvSpPr>
        <xdr:cNvPr id="3" name="8-Point Star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295275" y="485775"/>
          <a:ext cx="1095375" cy="952500"/>
        </a:xfrm>
        <a:prstGeom prst="star8">
          <a:avLst>
            <a:gd name="adj" fmla="val 33500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rgbClr val="FFFF00"/>
              </a:solidFill>
              <a:latin typeface="Lucida Handwriting" pitchFamily="66" charset="0"/>
            </a:rPr>
            <a:t>INDEX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106135</xdr:colOff>
      <xdr:row>0</xdr:row>
      <xdr:rowOff>289832</xdr:rowOff>
    </xdr:from>
    <xdr:to>
      <xdr:col>1</xdr:col>
      <xdr:colOff>870857</xdr:colOff>
      <xdr:row>0</xdr:row>
      <xdr:rowOff>1238250</xdr:rowOff>
    </xdr:to>
    <xdr:sp macro="" textlink="">
      <xdr:nvSpPr>
        <xdr:cNvPr id="2" name="8-Point St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106135" y="289832"/>
          <a:ext cx="1159329" cy="948418"/>
        </a:xfrm>
        <a:prstGeom prst="star8">
          <a:avLst>
            <a:gd name="adj" fmla="val 33500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rgbClr val="FFFF00"/>
              </a:solidFill>
              <a:latin typeface="Lucida Handwriting" pitchFamily="66" charset="0"/>
            </a:rPr>
            <a:t>INDEX</a:t>
          </a:r>
        </a:p>
      </xdr:txBody>
    </xdr:sp>
    <xdr:clientData/>
  </xdr:twoCellAnchor>
  <xdr:oneCellAnchor>
    <xdr:from>
      <xdr:col>1</xdr:col>
      <xdr:colOff>976312</xdr:colOff>
      <xdr:row>0</xdr:row>
      <xdr:rowOff>166688</xdr:rowOff>
    </xdr:from>
    <xdr:ext cx="11358563" cy="1119188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1381125" y="166688"/>
          <a:ext cx="11358563" cy="1119188"/>
        </a:xfrm>
        <a:prstGeom prst="rect">
          <a:avLst/>
        </a:prstGeom>
        <a:gradFill>
          <a:gsLst>
            <a:gs pos="0">
              <a:srgbClr val="00B0F0"/>
            </a:gs>
            <a:gs pos="53000">
              <a:srgbClr val="FFFF00"/>
            </a:gs>
            <a:gs pos="100000">
              <a:srgbClr val="B10F60"/>
            </a:gs>
          </a:gsLst>
          <a:lin ang="5400000" scaled="1"/>
        </a:gradFill>
        <a:ln w="38100">
          <a:solidFill>
            <a:sysClr val="windowText" lastClr="000000"/>
          </a:solidFill>
        </a:ln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60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pattFill prst="dkUpDiag">
                <a:fgClr>
                  <a:schemeClr val="tx2"/>
                </a:fgClr>
                <a:bgClr>
                  <a:schemeClr val="tx2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AUTOMATED ATTENDANCE SHEET</a:t>
          </a:r>
          <a:endParaRPr lang="en-US" sz="7200" b="1" cap="none" spc="0">
            <a:ln w="12700">
              <a:solidFill>
                <a:schemeClr val="tx2">
                  <a:lumMod val="75000"/>
                </a:schemeClr>
              </a:solidFill>
              <a:prstDash val="solid"/>
            </a:ln>
            <a:pattFill prst="dkUpDiag">
              <a:fgClr>
                <a:schemeClr val="tx2"/>
              </a:fgClr>
              <a:bgClr>
                <a:schemeClr val="tx2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</a:endParaRPr>
        </a:p>
      </xdr:txBody>
    </xdr:sp>
    <xdr:clientData/>
  </xdr:oneCellAnchor>
  <xdr:twoCellAnchor>
    <xdr:from>
      <xdr:col>40</xdr:col>
      <xdr:colOff>837974</xdr:colOff>
      <xdr:row>0</xdr:row>
      <xdr:rowOff>408214</xdr:rowOff>
    </xdr:from>
    <xdr:to>
      <xdr:col>50</xdr:col>
      <xdr:colOff>292553</xdr:colOff>
      <xdr:row>0</xdr:row>
      <xdr:rowOff>1362982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/>
      </xdr:nvSpPr>
      <xdr:spPr>
        <a:xfrm>
          <a:off x="15397617" y="408214"/>
          <a:ext cx="8371793" cy="954768"/>
        </a:xfrm>
        <a:prstGeom prst="rect">
          <a:avLst/>
        </a:prstGeom>
        <a:gradFill flip="none" rotWithShape="1">
          <a:gsLst>
            <a:gs pos="0">
              <a:srgbClr val="00B0F0"/>
            </a:gs>
            <a:gs pos="53000">
              <a:srgbClr val="FFFF00"/>
            </a:gs>
            <a:gs pos="100000">
              <a:srgbClr val="B10F60"/>
            </a:gs>
          </a:gsLst>
          <a:path path="circle">
            <a:fillToRect r="100000" b="100000"/>
          </a:path>
          <a:tileRect l="-100000" t="-100000"/>
        </a:gradFill>
        <a:ln w="38100">
          <a:solidFill>
            <a:sysClr val="windowText" lastClr="000000"/>
          </a:solidFill>
        </a:ln>
      </xdr:spPr>
      <xdr:txBody>
        <a:bodyPr wrap="square" lIns="91440" tIns="45720" rIns="91440" bIns="45720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6000" b="1" cap="none" spc="0">
              <a:ln w="12700">
                <a:solidFill>
                  <a:schemeClr val="tx2">
                    <a:lumMod val="75000"/>
                  </a:schemeClr>
                </a:solidFill>
                <a:prstDash val="solid"/>
              </a:ln>
              <a:gradFill>
                <a:gsLst>
                  <a:gs pos="0">
                    <a:srgbClr val="00B0F0"/>
                  </a:gs>
                  <a:gs pos="100000">
                    <a:srgbClr val="B10F60"/>
                  </a:gs>
                </a:gsLst>
                <a:lin ang="5400000" scaled="1"/>
              </a:gra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</a:rPr>
            <a:t>SALARY CALCULATRION</a:t>
          </a:r>
          <a:endParaRPr lang="en-US" sz="7200" b="1" cap="none" spc="0">
            <a:ln w="12700">
              <a:solidFill>
                <a:schemeClr val="tx2">
                  <a:lumMod val="75000"/>
                </a:schemeClr>
              </a:solidFill>
              <a:prstDash val="solid"/>
            </a:ln>
            <a:gradFill>
              <a:gsLst>
                <a:gs pos="0">
                  <a:srgbClr val="00B0F0"/>
                </a:gs>
                <a:gs pos="100000">
                  <a:srgbClr val="B10F60"/>
                </a:gs>
              </a:gsLst>
              <a:lin ang="5400000" scaled="1"/>
            </a:grad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</xdr:row>
      <xdr:rowOff>104775</xdr:rowOff>
    </xdr:from>
    <xdr:to>
      <xdr:col>2</xdr:col>
      <xdr:colOff>133350</xdr:colOff>
      <xdr:row>4</xdr:row>
      <xdr:rowOff>257175</xdr:rowOff>
    </xdr:to>
    <xdr:sp macro="" textlink="">
      <xdr:nvSpPr>
        <xdr:cNvPr id="2" name="8-Point St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257175" y="371475"/>
          <a:ext cx="1095375" cy="952500"/>
        </a:xfrm>
        <a:prstGeom prst="star8">
          <a:avLst>
            <a:gd name="adj" fmla="val 33500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rgbClr val="FFFF00"/>
              </a:solidFill>
              <a:latin typeface="Lucida Handwriting" pitchFamily="66" charset="0"/>
            </a:rPr>
            <a:t>INDEX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252349</xdr:colOff>
      <xdr:row>1</xdr:row>
      <xdr:rowOff>16414</xdr:rowOff>
    </xdr:from>
    <xdr:ext cx="9569671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1750949" y="200564"/>
          <a:ext cx="9569671" cy="937629"/>
        </a:xfrm>
        <a:prstGeom prst="rect">
          <a:avLst/>
        </a:prstGeom>
        <a:noFill/>
        <a:effectLst>
          <a:glow rad="228600">
            <a:schemeClr val="accent5">
              <a:satMod val="175000"/>
              <a:alpha val="40000"/>
            </a:schemeClr>
          </a:glow>
        </a:effectLst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X</a:t>
          </a:r>
          <a:r>
            <a:rPr lang="en-US" sz="54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LOOKUP AND ALL USE IN EXCEL</a:t>
          </a:r>
          <a:endParaRPr lang="en-US" sz="54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  <xdr:oneCellAnchor>
    <xdr:from>
      <xdr:col>1</xdr:col>
      <xdr:colOff>17399</xdr:colOff>
      <xdr:row>19</xdr:row>
      <xdr:rowOff>539</xdr:rowOff>
    </xdr:from>
    <xdr:ext cx="4599336" cy="937629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626999" y="4086764"/>
          <a:ext cx="4599336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</a:rPr>
            <a:t>RIGHT</a:t>
          </a:r>
          <a:r>
            <a:rPr lang="en-US" sz="54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</a:rPr>
            <a:t> OR LEFT </a:t>
          </a:r>
          <a:endParaRPr lang="en-US" sz="5400" b="1" cap="none" spc="0">
            <a:ln w="31550" cmpd="sng">
              <a:gradFill>
                <a:gsLst>
                  <a:gs pos="70000">
                    <a:schemeClr val="accent6">
                      <a:shade val="50000"/>
                      <a:satMod val="190000"/>
                    </a:schemeClr>
                  </a:gs>
                  <a:gs pos="0">
                    <a:schemeClr val="accent6">
                      <a:tint val="77000"/>
                      <a:satMod val="180000"/>
                    </a:schemeClr>
                  </a:gs>
                </a:gsLst>
                <a:lin ang="5400000"/>
              </a:gradFill>
              <a:prstDash val="solid"/>
            </a:ln>
            <a:solidFill>
              <a:schemeClr val="accent6">
                <a:tint val="15000"/>
                <a:satMod val="200000"/>
              </a:schemeClr>
            </a:solidFill>
            <a:effectLst>
              <a:outerShdw blurRad="50800" dist="40000" dir="5400000" algn="tl" rotWithShape="0">
                <a:srgbClr val="000000">
                  <a:shade val="5000"/>
                  <a:satMod val="120000"/>
                  <a:alpha val="33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303149</xdr:colOff>
      <xdr:row>35</xdr:row>
      <xdr:rowOff>29114</xdr:rowOff>
    </xdr:from>
    <xdr:ext cx="184731" cy="937629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303149" y="757291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54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  <xdr:oneCellAnchor>
    <xdr:from>
      <xdr:col>0</xdr:col>
      <xdr:colOff>265049</xdr:colOff>
      <xdr:row>35</xdr:row>
      <xdr:rowOff>539</xdr:rowOff>
    </xdr:from>
    <xdr:ext cx="6607322" cy="937629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/>
      </xdr:nvSpPr>
      <xdr:spPr>
        <a:xfrm>
          <a:off x="265049" y="7544339"/>
          <a:ext cx="66073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24500" cmpd="dbl">
                <a:solidFill>
                  <a:schemeClr val="accent2">
                    <a:shade val="85000"/>
                    <a:satMod val="155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2">
                      <a:tint val="10000"/>
                      <a:satMod val="155000"/>
                    </a:schemeClr>
                  </a:gs>
                  <a:gs pos="60000">
                    <a:schemeClr val="accent2">
                      <a:tint val="30000"/>
                      <a:satMod val="155000"/>
                    </a:schemeClr>
                  </a:gs>
                  <a:gs pos="100000">
                    <a:schemeClr val="accent2">
                      <a:tint val="73000"/>
                      <a:satMod val="155000"/>
                    </a:schemeClr>
                  </a:gs>
                </a:gsLst>
                <a:lin ang="5400000"/>
              </a:gradFill>
              <a:effectLst>
                <a:outerShdw blurRad="38100" dist="38100" dir="7020000" algn="tl">
                  <a:srgbClr val="000000">
                    <a:alpha val="35000"/>
                  </a:srgbClr>
                </a:outerShdw>
              </a:effectLst>
            </a:rPr>
            <a:t>SUM</a:t>
          </a:r>
          <a:r>
            <a:rPr lang="en-US" sz="5400" b="1" cap="none" spc="0" baseline="0">
              <a:ln w="24500" cmpd="dbl">
                <a:solidFill>
                  <a:schemeClr val="accent2">
                    <a:shade val="85000"/>
                    <a:satMod val="155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2">
                      <a:tint val="10000"/>
                      <a:satMod val="155000"/>
                    </a:schemeClr>
                  </a:gs>
                  <a:gs pos="60000">
                    <a:schemeClr val="accent2">
                      <a:tint val="30000"/>
                      <a:satMod val="155000"/>
                    </a:schemeClr>
                  </a:gs>
                  <a:gs pos="100000">
                    <a:schemeClr val="accent2">
                      <a:tint val="73000"/>
                      <a:satMod val="155000"/>
                    </a:schemeClr>
                  </a:gs>
                </a:gsLst>
                <a:lin ang="5400000"/>
              </a:gradFill>
              <a:effectLst>
                <a:outerShdw blurRad="38100" dist="38100" dir="7020000" algn="tl">
                  <a:srgbClr val="000000">
                    <a:alpha val="35000"/>
                  </a:srgbClr>
                </a:outerShdw>
              </a:effectLst>
            </a:rPr>
            <a:t> USE IN XLOOKUP</a:t>
          </a:r>
          <a:endParaRPr lang="en-US" sz="5400" b="1" cap="none" spc="0">
            <a:ln w="24500" cmpd="dbl">
              <a:solidFill>
                <a:schemeClr val="accent2">
                  <a:shade val="85000"/>
                  <a:satMod val="155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2">
                    <a:tint val="10000"/>
                    <a:satMod val="155000"/>
                  </a:schemeClr>
                </a:gs>
                <a:gs pos="60000">
                  <a:schemeClr val="accent2">
                    <a:tint val="30000"/>
                    <a:satMod val="155000"/>
                  </a:schemeClr>
                </a:gs>
                <a:gs pos="100000">
                  <a:schemeClr val="accent2">
                    <a:tint val="73000"/>
                    <a:satMod val="155000"/>
                  </a:schemeClr>
                </a:gs>
              </a:gsLst>
              <a:lin ang="5400000"/>
            </a:gradFill>
            <a:effectLst>
              <a:outerShdw blurRad="38100" dist="38100" dir="7020000" algn="tl">
                <a:srgbClr val="000000">
                  <a:alpha val="35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255524</xdr:colOff>
      <xdr:row>53</xdr:row>
      <xdr:rowOff>19589</xdr:rowOff>
    </xdr:from>
    <xdr:ext cx="4360169" cy="937629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/>
      </xdr:nvSpPr>
      <xdr:spPr>
        <a:xfrm>
          <a:off x="865124" y="11373389"/>
          <a:ext cx="436016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</a:rPr>
            <a:t>MATCH</a:t>
          </a:r>
          <a:r>
            <a:rPr lang="en-US" sz="5400" b="1" cap="none" spc="0" baseline="0">
              <a:ln w="31550" cmpd="sng">
                <a:gradFill>
                  <a:gsLst>
                    <a:gs pos="25000">
                      <a:schemeClr val="accent1">
                        <a:shade val="25000"/>
                        <a:satMod val="190000"/>
                      </a:schemeClr>
                    </a:gs>
                    <a:gs pos="80000">
                      <a:schemeClr val="accent1">
                        <a:tint val="75000"/>
                        <a:satMod val="19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rgbClr val="FFFFFF"/>
              </a:solidFill>
              <a:effectLst>
                <a:outerShdw blurRad="41275" dist="12700" dir="12000000" algn="tl" rotWithShape="0">
                  <a:srgbClr val="000000">
                    <a:alpha val="40000"/>
                  </a:srgbClr>
                </a:outerShdw>
              </a:effectLst>
            </a:rPr>
            <a:t> MODE</a:t>
          </a:r>
          <a:endParaRPr lang="en-US" sz="5400" b="1" cap="none" spc="0">
            <a:ln w="31550" cmpd="sng">
              <a:gradFill>
                <a:gsLst>
                  <a:gs pos="25000">
                    <a:schemeClr val="accent1">
                      <a:shade val="25000"/>
                      <a:satMod val="190000"/>
                    </a:schemeClr>
                  </a:gs>
                  <a:gs pos="80000">
                    <a:schemeClr val="accent1">
                      <a:tint val="75000"/>
                      <a:satMod val="190000"/>
                    </a:schemeClr>
                  </a:gs>
                </a:gsLst>
                <a:lin ang="5400000"/>
              </a:gradFill>
              <a:prstDash val="solid"/>
            </a:ln>
            <a:solidFill>
              <a:srgbClr val="FFFFFF"/>
            </a:solidFill>
            <a:effectLst>
              <a:outerShdw blurRad="41275" dist="12700" dir="120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287274</xdr:colOff>
      <xdr:row>69</xdr:row>
      <xdr:rowOff>67214</xdr:rowOff>
    </xdr:from>
    <xdr:ext cx="7893957" cy="937629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/>
      </xdr:nvSpPr>
      <xdr:spPr>
        <a:xfrm>
          <a:off x="287274" y="14850014"/>
          <a:ext cx="789395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en-US" sz="5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HLOOKUP WITH XLOOKUP</a:t>
          </a:r>
        </a:p>
      </xdr:txBody>
    </xdr:sp>
    <xdr:clientData/>
  </xdr:oneCellAnchor>
  <xdr:oneCellAnchor>
    <xdr:from>
      <xdr:col>0</xdr:col>
      <xdr:colOff>360299</xdr:colOff>
      <xdr:row>85</xdr:row>
      <xdr:rowOff>19589</xdr:rowOff>
    </xdr:from>
    <xdr:ext cx="5772479" cy="937629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>
        <a:xfrm>
          <a:off x="360299" y="18231389"/>
          <a:ext cx="577247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7780" cmpd="sng">
                <a:solidFill>
                  <a:schemeClr val="accent1">
                    <a:tint val="3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63000"/>
                      <a:sat val="105000"/>
                    </a:schemeClr>
                  </a:gs>
                  <a:gs pos="90000">
                    <a:schemeClr val="accent1">
                      <a:shade val="50000"/>
                      <a:satMod val="100000"/>
                    </a:schemeClr>
                  </a:gs>
                </a:gsLst>
                <a:lin ang="5400000"/>
              </a:gradFill>
              <a:effectLst>
                <a:outerShdw blurRad="55000" dist="50800" dir="5400000" algn="tl">
                  <a:srgbClr val="000000">
                    <a:alpha val="33000"/>
                  </a:srgbClr>
                </a:outerShdw>
              </a:effectLst>
            </a:rPr>
            <a:t>TWO</a:t>
          </a:r>
          <a:r>
            <a:rPr lang="en-US" sz="5400" b="1" cap="none" spc="0" baseline="0">
              <a:ln w="17780" cmpd="sng">
                <a:solidFill>
                  <a:schemeClr val="accent1">
                    <a:tint val="3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63000"/>
                      <a:sat val="105000"/>
                    </a:schemeClr>
                  </a:gs>
                  <a:gs pos="90000">
                    <a:schemeClr val="accent1">
                      <a:shade val="50000"/>
                      <a:satMod val="100000"/>
                    </a:schemeClr>
                  </a:gs>
                </a:gsLst>
                <a:lin ang="5400000"/>
              </a:gradFill>
              <a:effectLst>
                <a:outerShdw blurRad="55000" dist="50800" dir="5400000" algn="tl">
                  <a:srgbClr val="000000">
                    <a:alpha val="33000"/>
                  </a:srgbClr>
                </a:outerShdw>
              </a:effectLst>
            </a:rPr>
            <a:t> WAY LOOKUP</a:t>
          </a:r>
          <a:endParaRPr lang="en-US" sz="5400" b="1" cap="none" spc="0">
            <a:ln w="17780" cmpd="sng">
              <a:solidFill>
                <a:schemeClr val="accent1">
                  <a:tint val="3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63000"/>
                    <a:sat val="105000"/>
                  </a:schemeClr>
                </a:gs>
                <a:gs pos="90000">
                  <a:schemeClr val="accent1">
                    <a:shade val="50000"/>
                    <a:satMod val="100000"/>
                  </a:schemeClr>
                </a:gs>
              </a:gsLst>
              <a:lin ang="5400000"/>
            </a:gradFill>
            <a:effectLst>
              <a:outerShdw blurRad="55000" dist="50800" dir="5400000" algn="tl">
                <a:srgbClr val="000000">
                  <a:alpha val="33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474599</xdr:colOff>
      <xdr:row>103</xdr:row>
      <xdr:rowOff>67214</xdr:rowOff>
    </xdr:from>
    <xdr:ext cx="7093480" cy="937629"/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>
        <a:xfrm>
          <a:off x="1084199" y="22089014"/>
          <a:ext cx="709348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MULTIPLE</a:t>
          </a:r>
          <a:r>
            <a:rPr lang="en-US" sz="54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CELL LOOKUP</a:t>
          </a:r>
          <a:endParaRPr lang="en-US" sz="54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  <xdr:twoCellAnchor>
    <xdr:from>
      <xdr:col>0</xdr:col>
      <xdr:colOff>142875</xdr:colOff>
      <xdr:row>1</xdr:row>
      <xdr:rowOff>19050</xdr:rowOff>
    </xdr:from>
    <xdr:to>
      <xdr:col>2</xdr:col>
      <xdr:colOff>19050</xdr:colOff>
      <xdr:row>6</xdr:row>
      <xdr:rowOff>19050</xdr:rowOff>
    </xdr:to>
    <xdr:sp macro="" textlink="">
      <xdr:nvSpPr>
        <xdr:cNvPr id="10" name="8-Point St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/>
      </xdr:nvSpPr>
      <xdr:spPr>
        <a:xfrm>
          <a:off x="142875" y="209550"/>
          <a:ext cx="1095375" cy="952500"/>
        </a:xfrm>
        <a:prstGeom prst="star8">
          <a:avLst>
            <a:gd name="adj" fmla="val 33500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rgbClr val="FFFF00"/>
              </a:solidFill>
              <a:latin typeface="Lucida Handwriting" pitchFamily="66" charset="0"/>
            </a:rPr>
            <a:t>INDEX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302024</xdr:colOff>
      <xdr:row>2</xdr:row>
      <xdr:rowOff>57150</xdr:rowOff>
    </xdr:from>
    <xdr:ext cx="8749511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DDC1F87-95B8-4FC2-AC7A-DC84270BB91F}"/>
            </a:ext>
          </a:extLst>
        </xdr:cNvPr>
        <xdr:cNvSpPr/>
      </xdr:nvSpPr>
      <xdr:spPr>
        <a:xfrm>
          <a:off x="1521224" y="438150"/>
          <a:ext cx="874951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FORMATTING</a:t>
          </a:r>
          <a:r>
            <a:rPr lang="en-US" sz="5400" b="1" cap="none" spc="0" baseline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 WITH CODEING</a:t>
          </a:r>
          <a:endParaRPr lang="en-US" sz="5400" b="1" cap="none" spc="0">
            <a:ln w="12700" cmpd="sng">
              <a:solidFill>
                <a:schemeClr val="accent4"/>
              </a:solidFill>
              <a:prstDash val="solid"/>
            </a:ln>
            <a:gradFill>
              <a:gsLst>
                <a:gs pos="0">
                  <a:schemeClr val="accent4"/>
                </a:gs>
                <a:gs pos="4000">
                  <a:schemeClr val="accent4">
                    <a:lumMod val="60000"/>
                    <a:lumOff val="40000"/>
                  </a:schemeClr>
                </a:gs>
                <a:gs pos="87000">
                  <a:schemeClr val="accent4">
                    <a:lumMod val="20000"/>
                    <a:lumOff val="80000"/>
                  </a:schemeClr>
                </a:gs>
              </a:gsLst>
              <a:lin ang="5400000"/>
            </a:gradFill>
            <a:effectLst/>
          </a:endParaRPr>
        </a:p>
      </xdr:txBody>
    </xdr:sp>
    <xdr:clientData/>
  </xdr:oneCellAnchor>
  <xdr:twoCellAnchor>
    <xdr:from>
      <xdr:col>0</xdr:col>
      <xdr:colOff>247650</xdr:colOff>
      <xdr:row>2</xdr:row>
      <xdr:rowOff>161925</xdr:rowOff>
    </xdr:from>
    <xdr:to>
      <xdr:col>2</xdr:col>
      <xdr:colOff>123825</xdr:colOff>
      <xdr:row>7</xdr:row>
      <xdr:rowOff>161925</xdr:rowOff>
    </xdr:to>
    <xdr:sp macro="" textlink="">
      <xdr:nvSpPr>
        <xdr:cNvPr id="3" name="8-Point Star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D66822-87DA-4FDE-8370-6389216C0942}"/>
            </a:ext>
          </a:extLst>
        </xdr:cNvPr>
        <xdr:cNvSpPr/>
      </xdr:nvSpPr>
      <xdr:spPr>
        <a:xfrm>
          <a:off x="247650" y="542925"/>
          <a:ext cx="1095375" cy="952500"/>
        </a:xfrm>
        <a:prstGeom prst="star8">
          <a:avLst>
            <a:gd name="adj" fmla="val 33500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rgbClr val="FFFF00"/>
              </a:solidFill>
              <a:latin typeface="Lucida Handwriting" pitchFamily="66" charset="0"/>
            </a:rPr>
            <a:t>INDEX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109827</xdr:colOff>
      <xdr:row>0</xdr:row>
      <xdr:rowOff>31249</xdr:rowOff>
    </xdr:from>
    <xdr:ext cx="3571299" cy="921252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E3696BD-0B2C-44F7-8839-E1D54E87E9A8}"/>
            </a:ext>
          </a:extLst>
        </xdr:cNvPr>
        <xdr:cNvSpPr/>
      </xdr:nvSpPr>
      <xdr:spPr>
        <a:xfrm>
          <a:off x="3957927" y="31249"/>
          <a:ext cx="3571299" cy="9212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5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CELL STYLES</a:t>
          </a:r>
        </a:p>
      </xdr:txBody>
    </xdr:sp>
    <xdr:clientData/>
  </xdr:oneCellAnchor>
  <xdr:twoCellAnchor>
    <xdr:from>
      <xdr:col>0</xdr:col>
      <xdr:colOff>257175</xdr:colOff>
      <xdr:row>1</xdr:row>
      <xdr:rowOff>47625</xdr:rowOff>
    </xdr:from>
    <xdr:to>
      <xdr:col>2</xdr:col>
      <xdr:colOff>133350</xdr:colOff>
      <xdr:row>5</xdr:row>
      <xdr:rowOff>190500</xdr:rowOff>
    </xdr:to>
    <xdr:sp macro="" textlink="">
      <xdr:nvSpPr>
        <xdr:cNvPr id="3" name="8-Point Star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63030F-1F42-4DC4-977C-714B5D0F7C01}"/>
            </a:ext>
          </a:extLst>
        </xdr:cNvPr>
        <xdr:cNvSpPr/>
      </xdr:nvSpPr>
      <xdr:spPr>
        <a:xfrm>
          <a:off x="257175" y="238125"/>
          <a:ext cx="1095375" cy="952500"/>
        </a:xfrm>
        <a:prstGeom prst="star8">
          <a:avLst>
            <a:gd name="adj" fmla="val 33500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rgbClr val="FFFF00"/>
              </a:solidFill>
              <a:latin typeface="Lucida Handwriting" pitchFamily="66" charset="0"/>
            </a:rPr>
            <a:t>INDEX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jay\Excel%20work\FILTER%20Add-ins\FILTER%20Add-ins\FILTER%20Add-Ins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FILTER Add-Ins"/>
    </sheetNames>
    <definedNames>
      <definedName name="MyFILTER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D6278E0-6ED6-47A7-9219-F6DB0DF5E82F}">
  <we:reference id="wa104051163" version="1.2.0.3" store="en-US" storeType="OMEX"/>
  <we:alternateReferences>
    <we:reference id="wa104051163" version="1.2.0.3" store="wa104051163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C2:H24"/>
  <sheetViews>
    <sheetView tabSelected="1" workbookViewId="0"/>
  </sheetViews>
  <sheetFormatPr defaultRowHeight="14.5" x14ac:dyDescent="0.35"/>
  <cols>
    <col min="3" max="3" width="17.26953125" bestFit="1" customWidth="1"/>
    <col min="4" max="5" width="34" bestFit="1" customWidth="1"/>
    <col min="8" max="8" width="17.26953125" customWidth="1"/>
    <col min="9" max="10" width="34" bestFit="1" customWidth="1"/>
  </cols>
  <sheetData>
    <row r="2" spans="3:5" ht="15" customHeight="1" x14ac:dyDescent="0.35"/>
    <row r="3" spans="3:5" ht="15" customHeight="1" x14ac:dyDescent="0.35"/>
    <row r="4" spans="3:5" ht="15" customHeight="1" x14ac:dyDescent="0.35"/>
    <row r="5" spans="3:5" ht="15" customHeight="1" x14ac:dyDescent="0.35"/>
    <row r="6" spans="3:5" ht="15" customHeight="1" x14ac:dyDescent="0.35"/>
    <row r="7" spans="3:5" ht="26.25" customHeight="1" x14ac:dyDescent="0.35">
      <c r="C7" s="72" t="s">
        <v>282</v>
      </c>
      <c r="D7" s="73" t="s">
        <v>283</v>
      </c>
      <c r="E7" s="74" t="s">
        <v>284</v>
      </c>
    </row>
    <row r="8" spans="3:5" ht="15" customHeight="1" x14ac:dyDescent="0.35">
      <c r="C8" s="66">
        <v>1</v>
      </c>
      <c r="D8" s="75" t="s">
        <v>285</v>
      </c>
      <c r="E8" s="76" t="s">
        <v>300</v>
      </c>
    </row>
    <row r="9" spans="3:5" ht="15" customHeight="1" x14ac:dyDescent="0.35">
      <c r="C9" s="66">
        <v>2</v>
      </c>
      <c r="D9" s="75" t="s">
        <v>286</v>
      </c>
      <c r="E9" s="76" t="s">
        <v>286</v>
      </c>
    </row>
    <row r="10" spans="3:5" ht="15" customHeight="1" x14ac:dyDescent="0.35">
      <c r="C10" s="66">
        <v>3</v>
      </c>
      <c r="D10" s="75" t="s">
        <v>287</v>
      </c>
      <c r="E10" s="76" t="s">
        <v>287</v>
      </c>
    </row>
    <row r="11" spans="3:5" x14ac:dyDescent="0.35">
      <c r="C11" s="66">
        <v>4</v>
      </c>
      <c r="D11" s="75" t="s">
        <v>288</v>
      </c>
      <c r="E11" s="76" t="s">
        <v>288</v>
      </c>
    </row>
    <row r="12" spans="3:5" x14ac:dyDescent="0.35">
      <c r="C12" s="66">
        <v>5</v>
      </c>
      <c r="D12" s="75" t="s">
        <v>289</v>
      </c>
      <c r="E12" s="76" t="s">
        <v>299</v>
      </c>
    </row>
    <row r="13" spans="3:5" x14ac:dyDescent="0.35">
      <c r="C13" s="66">
        <v>6</v>
      </c>
      <c r="D13" s="75" t="s">
        <v>290</v>
      </c>
      <c r="E13" s="76" t="s">
        <v>290</v>
      </c>
    </row>
    <row r="14" spans="3:5" x14ac:dyDescent="0.35">
      <c r="C14" s="66">
        <v>7</v>
      </c>
      <c r="D14" s="75" t="s">
        <v>291</v>
      </c>
      <c r="E14" s="76" t="s">
        <v>298</v>
      </c>
    </row>
    <row r="15" spans="3:5" x14ac:dyDescent="0.35">
      <c r="C15" s="66">
        <v>8</v>
      </c>
      <c r="D15" s="75" t="s">
        <v>292</v>
      </c>
      <c r="E15" s="76" t="s">
        <v>292</v>
      </c>
    </row>
    <row r="16" spans="3:5" x14ac:dyDescent="0.35">
      <c r="C16" s="66">
        <v>9</v>
      </c>
      <c r="D16" s="75" t="s">
        <v>293</v>
      </c>
      <c r="E16" s="76" t="s">
        <v>293</v>
      </c>
    </row>
    <row r="17" spans="3:8" x14ac:dyDescent="0.35">
      <c r="C17" s="66">
        <v>10</v>
      </c>
      <c r="D17" s="75" t="s">
        <v>294</v>
      </c>
      <c r="E17" s="76" t="s">
        <v>297</v>
      </c>
    </row>
    <row r="18" spans="3:8" x14ac:dyDescent="0.35">
      <c r="C18" s="66">
        <v>11</v>
      </c>
      <c r="D18" s="75" t="s">
        <v>295</v>
      </c>
      <c r="E18" s="76" t="s">
        <v>295</v>
      </c>
    </row>
    <row r="19" spans="3:8" x14ac:dyDescent="0.35">
      <c r="C19" s="66">
        <v>12</v>
      </c>
      <c r="D19" s="75" t="s">
        <v>312</v>
      </c>
      <c r="E19" s="76" t="s">
        <v>312</v>
      </c>
      <c r="F19" s="128"/>
      <c r="G19" s="46"/>
      <c r="H19" s="46"/>
    </row>
    <row r="20" spans="3:8" x14ac:dyDescent="0.35">
      <c r="C20" s="66">
        <v>13</v>
      </c>
      <c r="D20" s="75" t="s">
        <v>296</v>
      </c>
      <c r="E20" s="77" t="s">
        <v>296</v>
      </c>
      <c r="F20" s="128"/>
      <c r="G20" s="46"/>
      <c r="H20" s="46"/>
    </row>
    <row r="21" spans="3:8" x14ac:dyDescent="0.35">
      <c r="C21" s="66">
        <v>14</v>
      </c>
      <c r="D21" s="75" t="s">
        <v>328</v>
      </c>
      <c r="E21" s="77" t="s">
        <v>328</v>
      </c>
      <c r="F21" s="128"/>
      <c r="G21" s="46"/>
      <c r="H21" s="46"/>
    </row>
    <row r="22" spans="3:8" x14ac:dyDescent="0.35">
      <c r="C22" s="66">
        <v>15</v>
      </c>
      <c r="D22" s="75" t="s">
        <v>455</v>
      </c>
      <c r="E22" s="77" t="s">
        <v>457</v>
      </c>
    </row>
    <row r="23" spans="3:8" x14ac:dyDescent="0.35">
      <c r="C23" s="66">
        <v>16</v>
      </c>
      <c r="D23" s="75" t="s">
        <v>456</v>
      </c>
      <c r="E23" s="77" t="s">
        <v>456</v>
      </c>
    </row>
    <row r="24" spans="3:8" x14ac:dyDescent="0.35">
      <c r="C24" s="66">
        <v>17</v>
      </c>
      <c r="D24" s="75"/>
      <c r="E24" s="78"/>
    </row>
  </sheetData>
  <hyperlinks>
    <hyperlink ref="E8" location="'Excel Formula'!A1" display="Excel Formula" xr:uid="{00000000-0004-0000-0000-000000000000}"/>
    <hyperlink ref="E9" location="COMPARTMENT!A1" display="COMPARTMENT" xr:uid="{00000000-0004-0000-0000-000001000000}"/>
    <hyperlink ref="E10" location="'AVERAGE FORMULA'!A1" display="AVERAGE FORMULA" xr:uid="{00000000-0004-0000-0000-000002000000}"/>
    <hyperlink ref="E11" location="'FORCAST &amp; INDEX'!A1" display="FORCAST &amp; INDEX" xr:uid="{00000000-0004-0000-0000-000003000000}"/>
    <hyperlink ref="E12" location="'DATA BASE FUNCTION''S'!A1" display="DATA BASE FUNCTION" xr:uid="{00000000-0004-0000-0000-000004000000}"/>
    <hyperlink ref="E13" location="'EMI FORMULA'!A1" display="EMI FORMULA" xr:uid="{00000000-0004-0000-0000-000005000000}"/>
    <hyperlink ref="E14" location="'LOOKUP &amp; MATCH FORMULA''S'!A1" display="LOOKUP &amp; MATCH FORMULA" xr:uid="{00000000-0004-0000-0000-000006000000}"/>
    <hyperlink ref="E15" location="'VLOOKUP &amp; MATCH MIX'!A1" display="VLOOKUP &amp; MATCH MIX" xr:uid="{00000000-0004-0000-0000-000007000000}"/>
    <hyperlink ref="E16" location="INCENTIVE!A1" display="INCENTIVE" xr:uid="{00000000-0004-0000-0000-000008000000}"/>
    <hyperlink ref="E17" location="'SEARCH FORMULA IF &amp; VLOOKUP'!A1" display="SEARCH FORMULA IF &amp; VLOOKUP" xr:uid="{00000000-0004-0000-0000-000009000000}"/>
    <hyperlink ref="E18" location="'AGE COUNT FORMULA'!A1" display="AGE COUNT FORMULA" xr:uid="{00000000-0004-0000-0000-00000A000000}"/>
    <hyperlink ref="E19" location="'ATTENDANCE SHEET &amp; SALARY SHEET'!A1" display="ATTENDANCE SHEET &amp; SALARY SHEET" xr:uid="{00000000-0004-0000-0000-00000B000000}"/>
    <hyperlink ref="E20" location="'ELECTRICITY BILL'!A1" display="'ELECTRICITY BILL" xr:uid="{00000000-0004-0000-0000-00000C000000}"/>
    <hyperlink ref="E21" location="'XLOOKUP AND USE'!A1" display="'XLOOKUP AND USE" xr:uid="{00000000-0004-0000-0000-00000D000000}"/>
    <hyperlink ref="E22" location="FWC!A1" display="CONDITIONAL FORMAT" xr:uid="{91A95681-4940-4536-AA40-F468B59499B0}"/>
    <hyperlink ref="E23" location="'CELL STYLES'!A1" display="CELL STYLES" xr:uid="{4151A747-E956-42CA-AD9F-2336252E8697}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F0"/>
  </sheetPr>
  <dimension ref="B8:J350"/>
  <sheetViews>
    <sheetView workbookViewId="0"/>
  </sheetViews>
  <sheetFormatPr defaultColWidth="9.1796875" defaultRowHeight="21" x14ac:dyDescent="0.5"/>
  <cols>
    <col min="1" max="1" width="9.1796875" style="48"/>
    <col min="2" max="2" width="35.7265625" style="48" bestFit="1" customWidth="1"/>
    <col min="3" max="3" width="24.453125" style="48" bestFit="1" customWidth="1"/>
    <col min="4" max="4" width="15.81640625" style="48" bestFit="1" customWidth="1"/>
    <col min="5" max="5" width="17.26953125" style="48" bestFit="1" customWidth="1"/>
    <col min="6" max="6" width="22.81640625" style="48" bestFit="1" customWidth="1"/>
    <col min="7" max="7" width="14.7265625" style="48" bestFit="1" customWidth="1"/>
    <col min="8" max="8" width="22.54296875" style="48" bestFit="1" customWidth="1"/>
    <col min="9" max="9" width="14.54296875" style="48" bestFit="1" customWidth="1"/>
    <col min="10" max="10" width="13.08984375" style="48" customWidth="1"/>
    <col min="11" max="16384" width="9.1796875" style="48"/>
  </cols>
  <sheetData>
    <row r="8" spans="2:7" x14ac:dyDescent="0.5">
      <c r="B8" s="43" t="s">
        <v>0</v>
      </c>
      <c r="C8" s="79">
        <v>44837</v>
      </c>
      <c r="D8" s="44" t="s">
        <v>1</v>
      </c>
      <c r="F8" s="116"/>
    </row>
    <row r="10" spans="2:7" x14ac:dyDescent="0.5">
      <c r="B10" s="43" t="s">
        <v>4</v>
      </c>
      <c r="C10" s="80">
        <f ca="1">NOW()</f>
        <v>46125.655017245372</v>
      </c>
      <c r="F10" s="118"/>
    </row>
    <row r="12" spans="2:7" x14ac:dyDescent="0.5">
      <c r="B12" s="143" t="s">
        <v>2</v>
      </c>
      <c r="C12" s="143"/>
      <c r="D12" s="81">
        <v>0.81458333333333333</v>
      </c>
      <c r="E12" s="44" t="s">
        <v>3</v>
      </c>
    </row>
    <row r="14" spans="2:7" x14ac:dyDescent="0.5">
      <c r="B14" s="143" t="s">
        <v>5</v>
      </c>
      <c r="C14" s="143"/>
      <c r="D14" s="143"/>
      <c r="E14" s="143"/>
    </row>
    <row r="15" spans="2:7" x14ac:dyDescent="0.5">
      <c r="B15" s="79">
        <v>44837</v>
      </c>
      <c r="C15" s="44" t="s">
        <v>6</v>
      </c>
      <c r="D15" s="44" t="s">
        <v>7</v>
      </c>
      <c r="E15" s="44" t="s">
        <v>8</v>
      </c>
      <c r="G15" s="119"/>
    </row>
    <row r="16" spans="2:7" x14ac:dyDescent="0.5">
      <c r="B16" s="119"/>
      <c r="C16" s="44">
        <f>MONTH(B15)</f>
        <v>10</v>
      </c>
      <c r="D16" s="44">
        <f>YEAR(B15)</f>
        <v>2022</v>
      </c>
      <c r="E16" s="44">
        <f>DAY(B15)</f>
        <v>3</v>
      </c>
    </row>
    <row r="18" spans="2:6" x14ac:dyDescent="0.5">
      <c r="B18" s="143" t="s">
        <v>9</v>
      </c>
      <c r="C18" s="143"/>
    </row>
    <row r="19" spans="2:6" x14ac:dyDescent="0.5">
      <c r="B19" s="81">
        <v>0.81944444444444453</v>
      </c>
      <c r="C19" s="44">
        <f>MINUTE(B19)</f>
        <v>40</v>
      </c>
      <c r="F19" s="117"/>
    </row>
    <row r="21" spans="2:6" x14ac:dyDescent="0.5">
      <c r="B21" s="143" t="s">
        <v>10</v>
      </c>
      <c r="C21" s="143"/>
    </row>
    <row r="22" spans="2:6" x14ac:dyDescent="0.5">
      <c r="B22" s="82">
        <v>0.81944444444444453</v>
      </c>
      <c r="C22" s="44">
        <f>SECOND(B22)</f>
        <v>0</v>
      </c>
    </row>
    <row r="24" spans="2:6" x14ac:dyDescent="0.5">
      <c r="B24" s="143" t="s">
        <v>11</v>
      </c>
      <c r="C24" s="143"/>
    </row>
    <row r="25" spans="2:6" x14ac:dyDescent="0.5">
      <c r="B25" s="44">
        <v>36</v>
      </c>
      <c r="C25" s="44">
        <v>5</v>
      </c>
    </row>
    <row r="26" spans="2:6" x14ac:dyDescent="0.5">
      <c r="B26" s="44">
        <f>MOD(B25,C25)</f>
        <v>1</v>
      </c>
    </row>
    <row r="28" spans="2:6" x14ac:dyDescent="0.5">
      <c r="B28" s="143" t="s">
        <v>12</v>
      </c>
      <c r="C28" s="143"/>
      <c r="D28" s="143"/>
    </row>
    <row r="29" spans="2:6" x14ac:dyDescent="0.5">
      <c r="B29" s="44">
        <v>12</v>
      </c>
      <c r="C29" s="44">
        <v>45</v>
      </c>
      <c r="D29" s="44">
        <v>32</v>
      </c>
    </row>
    <row r="30" spans="2:6" x14ac:dyDescent="0.5">
      <c r="B30" s="44">
        <f>LCM(B29,C29,D29)</f>
        <v>1440</v>
      </c>
    </row>
    <row r="32" spans="2:6" x14ac:dyDescent="0.5">
      <c r="B32" s="143" t="s">
        <v>13</v>
      </c>
      <c r="C32" s="143"/>
      <c r="D32" s="143"/>
    </row>
    <row r="33" spans="2:4" x14ac:dyDescent="0.5">
      <c r="B33" s="44">
        <v>12</v>
      </c>
      <c r="C33" s="44">
        <v>45</v>
      </c>
      <c r="D33" s="44">
        <v>32</v>
      </c>
    </row>
    <row r="34" spans="2:4" x14ac:dyDescent="0.5">
      <c r="B34" s="44">
        <f>GCD(B33,C33,D33)</f>
        <v>1</v>
      </c>
    </row>
    <row r="36" spans="2:4" x14ac:dyDescent="0.5">
      <c r="B36" s="43" t="s">
        <v>14</v>
      </c>
    </row>
    <row r="37" spans="2:4" x14ac:dyDescent="0.5">
      <c r="B37" s="44" t="s">
        <v>15</v>
      </c>
    </row>
    <row r="38" spans="2:4" x14ac:dyDescent="0.5">
      <c r="B38" s="44" t="str">
        <f>TRIM(B37)</f>
        <v>Ajay Singh Gahlawat</v>
      </c>
    </row>
    <row r="40" spans="2:4" x14ac:dyDescent="0.5">
      <c r="B40" s="43" t="s">
        <v>18</v>
      </c>
    </row>
    <row r="41" spans="2:4" x14ac:dyDescent="0.5">
      <c r="B41" s="44" t="s">
        <v>17</v>
      </c>
    </row>
    <row r="42" spans="2:4" x14ac:dyDescent="0.5">
      <c r="B42" s="44" t="str">
        <f>MID(B41,2,5)</f>
        <v>jay S</v>
      </c>
    </row>
    <row r="44" spans="2:4" x14ac:dyDescent="0.5">
      <c r="B44" s="3" t="s">
        <v>16</v>
      </c>
    </row>
    <row r="45" spans="2:4" x14ac:dyDescent="0.5">
      <c r="B45" s="44" t="s">
        <v>19</v>
      </c>
      <c r="C45" s="44" t="b">
        <f>ISBLANK(B45)</f>
        <v>0</v>
      </c>
    </row>
    <row r="46" spans="2:4" x14ac:dyDescent="0.5">
      <c r="B46" s="44" t="s">
        <v>20</v>
      </c>
      <c r="C46" s="44" t="b">
        <f t="shared" ref="C46:C50" si="0">ISBLANK(B46)</f>
        <v>0</v>
      </c>
    </row>
    <row r="47" spans="2:4" x14ac:dyDescent="0.5">
      <c r="B47" s="44"/>
      <c r="C47" s="44" t="b">
        <f t="shared" si="0"/>
        <v>1</v>
      </c>
    </row>
    <row r="48" spans="2:4" x14ac:dyDescent="0.5">
      <c r="B48" s="44" t="s">
        <v>21</v>
      </c>
      <c r="C48" s="44" t="b">
        <f t="shared" si="0"/>
        <v>0</v>
      </c>
    </row>
    <row r="49" spans="2:5" x14ac:dyDescent="0.5">
      <c r="B49" s="44"/>
      <c r="C49" s="44" t="b">
        <f t="shared" si="0"/>
        <v>1</v>
      </c>
    </row>
    <row r="50" spans="2:5" x14ac:dyDescent="0.5">
      <c r="B50" s="44" t="s">
        <v>22</v>
      </c>
      <c r="C50" s="44" t="b">
        <f t="shared" si="0"/>
        <v>0</v>
      </c>
    </row>
    <row r="52" spans="2:5" x14ac:dyDescent="0.5">
      <c r="B52" s="143" t="s">
        <v>23</v>
      </c>
      <c r="C52" s="143"/>
      <c r="D52" s="143"/>
      <c r="E52" s="143"/>
    </row>
    <row r="53" spans="2:5" x14ac:dyDescent="0.5">
      <c r="B53" s="79">
        <v>44837</v>
      </c>
      <c r="C53" s="44" t="s">
        <v>24</v>
      </c>
      <c r="D53" s="44" t="s">
        <v>25</v>
      </c>
      <c r="E53" s="44" t="s">
        <v>26</v>
      </c>
    </row>
    <row r="54" spans="2:5" x14ac:dyDescent="0.5">
      <c r="B54" s="43" t="s">
        <v>8</v>
      </c>
      <c r="C54" s="44" t="str">
        <f>TEXT(B53,"dddd")</f>
        <v>Monday</v>
      </c>
      <c r="D54" s="44" t="str">
        <f>TEXT(B53,"ddd")</f>
        <v>Mon</v>
      </c>
      <c r="E54" s="44" t="str">
        <f>TEXT(B53,"dd")</f>
        <v>03</v>
      </c>
    </row>
    <row r="55" spans="2:5" x14ac:dyDescent="0.5">
      <c r="B55" s="44"/>
      <c r="C55" s="44"/>
      <c r="D55" s="44"/>
      <c r="E55" s="44"/>
    </row>
    <row r="56" spans="2:5" x14ac:dyDescent="0.5">
      <c r="B56" s="43" t="s">
        <v>27</v>
      </c>
      <c r="C56" s="44" t="str">
        <f>TEXT(B53,"mmmm")</f>
        <v>October</v>
      </c>
      <c r="D56" s="44" t="str">
        <f>TEXT(B53,"mmm")</f>
        <v>Oct</v>
      </c>
      <c r="E56" s="44" t="str">
        <f>TEXT(B53,"mm")</f>
        <v>10</v>
      </c>
    </row>
    <row r="57" spans="2:5" x14ac:dyDescent="0.5">
      <c r="B57" s="44"/>
      <c r="C57" s="44"/>
      <c r="D57" s="44"/>
      <c r="E57" s="44"/>
    </row>
    <row r="58" spans="2:5" x14ac:dyDescent="0.5">
      <c r="B58" s="43" t="s">
        <v>7</v>
      </c>
      <c r="C58" s="44" t="str">
        <f>TEXT(B53,"yyyy")</f>
        <v>2022</v>
      </c>
      <c r="D58" s="44" t="str">
        <f>TEXT(B53,"yyy")</f>
        <v>2022</v>
      </c>
      <c r="E58" s="44" t="str">
        <f>TEXT(B53,"yy")</f>
        <v>22</v>
      </c>
    </row>
    <row r="60" spans="2:5" x14ac:dyDescent="0.5">
      <c r="B60" s="143" t="s">
        <v>28</v>
      </c>
      <c r="C60" s="143"/>
    </row>
    <row r="61" spans="2:5" x14ac:dyDescent="0.5">
      <c r="B61" s="44">
        <v>-3545</v>
      </c>
      <c r="C61" s="44">
        <f>ABS(B61)</f>
        <v>3545</v>
      </c>
    </row>
    <row r="63" spans="2:5" x14ac:dyDescent="0.5">
      <c r="B63" s="143" t="s">
        <v>29</v>
      </c>
      <c r="C63" s="143"/>
    </row>
    <row r="64" spans="2:5" x14ac:dyDescent="0.5">
      <c r="B64" s="44" t="s">
        <v>17</v>
      </c>
      <c r="C64" s="44">
        <f>LEN(B64)</f>
        <v>19</v>
      </c>
    </row>
    <row r="66" spans="2:3" x14ac:dyDescent="0.5">
      <c r="B66" s="143" t="s">
        <v>30</v>
      </c>
      <c r="C66" s="143"/>
    </row>
    <row r="67" spans="2:3" x14ac:dyDescent="0.5">
      <c r="B67" s="44" t="s">
        <v>17</v>
      </c>
      <c r="C67" s="44" t="str">
        <f>LEFT(B67,3)</f>
        <v>Aja</v>
      </c>
    </row>
    <row r="69" spans="2:3" x14ac:dyDescent="0.5">
      <c r="B69" s="143" t="s">
        <v>31</v>
      </c>
      <c r="C69" s="143"/>
    </row>
    <row r="70" spans="2:3" x14ac:dyDescent="0.5">
      <c r="B70" s="44" t="s">
        <v>32</v>
      </c>
      <c r="C70" s="44" t="str">
        <f>RIGHT(B70,4)</f>
        <v>ingh</v>
      </c>
    </row>
    <row r="72" spans="2:3" x14ac:dyDescent="0.5">
      <c r="B72" s="143" t="s">
        <v>33</v>
      </c>
      <c r="C72" s="143"/>
    </row>
    <row r="73" spans="2:3" x14ac:dyDescent="0.5">
      <c r="B73" s="44" t="s">
        <v>34</v>
      </c>
      <c r="C73" s="44" t="str">
        <f>UPPER(B73)</f>
        <v>AJAY SINGH</v>
      </c>
    </row>
    <row r="75" spans="2:3" x14ac:dyDescent="0.5">
      <c r="B75" s="143" t="s">
        <v>35</v>
      </c>
      <c r="C75" s="143"/>
    </row>
    <row r="76" spans="2:3" x14ac:dyDescent="0.5">
      <c r="B76" s="44" t="s">
        <v>36</v>
      </c>
      <c r="C76" s="44" t="str">
        <f>LOWER(B76)</f>
        <v>ajay singh</v>
      </c>
    </row>
    <row r="78" spans="2:3" x14ac:dyDescent="0.5">
      <c r="B78" s="147" t="s">
        <v>37</v>
      </c>
      <c r="C78" s="147"/>
    </row>
    <row r="79" spans="2:3" x14ac:dyDescent="0.5">
      <c r="B79" s="44" t="s">
        <v>38</v>
      </c>
      <c r="C79" s="44" t="str">
        <f>PROPER(B79)</f>
        <v>Ajay Singh</v>
      </c>
    </row>
    <row r="81" spans="2:10" x14ac:dyDescent="0.5">
      <c r="B81" s="143" t="s">
        <v>39</v>
      </c>
      <c r="C81" s="143"/>
    </row>
    <row r="82" spans="2:10" x14ac:dyDescent="0.5">
      <c r="B82" s="44" t="s">
        <v>19</v>
      </c>
      <c r="C82" s="44" t="s">
        <v>40</v>
      </c>
    </row>
    <row r="83" spans="2:10" x14ac:dyDescent="0.5">
      <c r="B83" s="44" t="str">
        <f>CONCATENATE(B82,C82)</f>
        <v>AjaySingh</v>
      </c>
    </row>
    <row r="85" spans="2:10" x14ac:dyDescent="0.5">
      <c r="B85" s="43" t="s">
        <v>41</v>
      </c>
      <c r="C85" s="43"/>
    </row>
    <row r="86" spans="2:10" x14ac:dyDescent="0.5">
      <c r="B86" s="44" t="s">
        <v>19</v>
      </c>
      <c r="C86" s="44" t="s">
        <v>40</v>
      </c>
    </row>
    <row r="87" spans="2:10" x14ac:dyDescent="0.5">
      <c r="B87" s="44" t="str">
        <f>CONCATENATE(B86," ",C86)</f>
        <v>Ajay Singh</v>
      </c>
    </row>
    <row r="88" spans="2:10" x14ac:dyDescent="0.5">
      <c r="G88" s="3" t="s">
        <v>53</v>
      </c>
      <c r="J88" s="43" t="s">
        <v>70</v>
      </c>
    </row>
    <row r="89" spans="2:10" x14ac:dyDescent="0.5">
      <c r="B89" s="3" t="s">
        <v>55</v>
      </c>
      <c r="C89" s="49" t="s">
        <v>42</v>
      </c>
      <c r="D89" s="44" t="s">
        <v>43</v>
      </c>
      <c r="E89" s="44" t="s">
        <v>44</v>
      </c>
      <c r="F89" s="44" t="s">
        <v>45</v>
      </c>
      <c r="G89" s="44" t="s">
        <v>46</v>
      </c>
      <c r="H89" s="43" t="s">
        <v>65</v>
      </c>
      <c r="I89" s="2" t="s">
        <v>66</v>
      </c>
      <c r="J89" s="44" t="s">
        <v>69</v>
      </c>
    </row>
    <row r="90" spans="2:10" x14ac:dyDescent="0.5">
      <c r="B90" s="44" t="s">
        <v>47</v>
      </c>
      <c r="C90" s="44">
        <v>81</v>
      </c>
      <c r="D90" s="44">
        <v>66</v>
      </c>
      <c r="E90" s="44">
        <v>88</v>
      </c>
      <c r="F90" s="44">
        <v>82</v>
      </c>
      <c r="G90" s="44">
        <f>SUM(C90:F90)</f>
        <v>317</v>
      </c>
      <c r="H90" s="44">
        <f>MAX(C90:F96)</f>
        <v>90</v>
      </c>
      <c r="I90" s="44">
        <f>MIN(C90:F96)</f>
        <v>65</v>
      </c>
      <c r="J90" s="44" t="str">
        <f>IF(G90&gt;320,"A",IF(G90&gt;300,"B","C"))</f>
        <v>B</v>
      </c>
    </row>
    <row r="91" spans="2:10" x14ac:dyDescent="0.5">
      <c r="B91" s="44" t="s">
        <v>48</v>
      </c>
      <c r="C91" s="44">
        <v>74</v>
      </c>
      <c r="D91" s="44">
        <v>89</v>
      </c>
      <c r="E91" s="44">
        <v>84</v>
      </c>
      <c r="F91" s="44">
        <v>89</v>
      </c>
      <c r="G91" s="44">
        <f t="shared" ref="G91:G96" si="1">SUM(C91:F91)</f>
        <v>336</v>
      </c>
      <c r="J91" s="44" t="str">
        <f t="shared" ref="J91:J96" si="2">IF(G91&gt;320,"A",IF(G91&gt;300,"B","C"))</f>
        <v>A</v>
      </c>
    </row>
    <row r="92" spans="2:10" x14ac:dyDescent="0.5">
      <c r="B92" s="44" t="s">
        <v>49</v>
      </c>
      <c r="C92" s="44">
        <v>72</v>
      </c>
      <c r="D92" s="44">
        <v>67</v>
      </c>
      <c r="E92" s="44">
        <v>89</v>
      </c>
      <c r="F92" s="44">
        <v>69</v>
      </c>
      <c r="G92" s="44">
        <f t="shared" si="1"/>
        <v>297</v>
      </c>
      <c r="H92" s="4" t="s">
        <v>67</v>
      </c>
      <c r="I92" s="2" t="s">
        <v>68</v>
      </c>
      <c r="J92" s="44" t="str">
        <f t="shared" si="2"/>
        <v>C</v>
      </c>
    </row>
    <row r="93" spans="2:10" x14ac:dyDescent="0.5">
      <c r="B93" s="44" t="s">
        <v>50</v>
      </c>
      <c r="C93" s="44">
        <v>69</v>
      </c>
      <c r="D93" s="44">
        <v>72</v>
      </c>
      <c r="E93" s="44">
        <v>74</v>
      </c>
      <c r="F93" s="44">
        <v>71</v>
      </c>
      <c r="G93" s="44">
        <f t="shared" si="1"/>
        <v>286</v>
      </c>
      <c r="H93" s="44">
        <f>LARGE(C90:F96,4)</f>
        <v>89</v>
      </c>
      <c r="I93" s="44">
        <f>SMALL(C90:F96,5)</f>
        <v>69</v>
      </c>
      <c r="J93" s="44" t="str">
        <f t="shared" si="2"/>
        <v>C</v>
      </c>
    </row>
    <row r="94" spans="2:10" x14ac:dyDescent="0.5">
      <c r="B94" s="44" t="s">
        <v>51</v>
      </c>
      <c r="C94" s="44">
        <v>86</v>
      </c>
      <c r="D94" s="44">
        <v>89</v>
      </c>
      <c r="E94" s="44">
        <v>90</v>
      </c>
      <c r="F94" s="44">
        <v>67</v>
      </c>
      <c r="G94" s="44">
        <f t="shared" si="1"/>
        <v>332</v>
      </c>
      <c r="J94" s="44" t="str">
        <f t="shared" si="2"/>
        <v>A</v>
      </c>
    </row>
    <row r="95" spans="2:10" x14ac:dyDescent="0.5">
      <c r="B95" s="44" t="s">
        <v>19</v>
      </c>
      <c r="C95" s="44">
        <v>87</v>
      </c>
      <c r="D95" s="44">
        <v>71</v>
      </c>
      <c r="E95" s="44">
        <v>86</v>
      </c>
      <c r="F95" s="44">
        <v>65</v>
      </c>
      <c r="G95" s="44">
        <f t="shared" si="1"/>
        <v>309</v>
      </c>
      <c r="J95" s="44" t="str">
        <f t="shared" si="2"/>
        <v>B</v>
      </c>
    </row>
    <row r="96" spans="2:10" x14ac:dyDescent="0.5">
      <c r="B96" s="44" t="s">
        <v>52</v>
      </c>
      <c r="C96" s="44">
        <v>90</v>
      </c>
      <c r="D96" s="44">
        <v>90</v>
      </c>
      <c r="E96" s="44">
        <v>78</v>
      </c>
      <c r="F96" s="44">
        <v>88</v>
      </c>
      <c r="G96" s="44">
        <f t="shared" si="1"/>
        <v>346</v>
      </c>
      <c r="J96" s="44" t="str">
        <f t="shared" si="2"/>
        <v>A</v>
      </c>
    </row>
    <row r="98" spans="2:3" x14ac:dyDescent="0.5">
      <c r="B98" s="43" t="s">
        <v>54</v>
      </c>
    </row>
    <row r="99" spans="2:3" x14ac:dyDescent="0.5">
      <c r="B99" s="44">
        <v>12</v>
      </c>
      <c r="C99" s="44" t="str">
        <f>ROMAN(B99)</f>
        <v>XII</v>
      </c>
    </row>
    <row r="100" spans="2:3" x14ac:dyDescent="0.5">
      <c r="B100" s="44">
        <v>32</v>
      </c>
      <c r="C100" s="44" t="str">
        <f t="shared" ref="C100:C102" si="3">ROMAN(B100)</f>
        <v>XXXII</v>
      </c>
    </row>
    <row r="101" spans="2:3" x14ac:dyDescent="0.5">
      <c r="B101" s="44">
        <v>745</v>
      </c>
      <c r="C101" s="44" t="str">
        <f t="shared" si="3"/>
        <v>DCCXLV</v>
      </c>
    </row>
    <row r="102" spans="2:3" x14ac:dyDescent="0.5">
      <c r="B102" s="44">
        <v>122</v>
      </c>
      <c r="C102" s="44" t="str">
        <f t="shared" si="3"/>
        <v>CXXII</v>
      </c>
    </row>
    <row r="104" spans="2:3" x14ac:dyDescent="0.5">
      <c r="B104" s="43" t="s">
        <v>56</v>
      </c>
    </row>
    <row r="105" spans="2:3" x14ac:dyDescent="0.5">
      <c r="B105" s="44">
        <v>2.153</v>
      </c>
      <c r="C105" s="44">
        <f>INT(B105)</f>
        <v>2</v>
      </c>
    </row>
    <row r="107" spans="2:3" x14ac:dyDescent="0.5">
      <c r="B107" s="3" t="s">
        <v>57</v>
      </c>
    </row>
    <row r="108" spans="2:3" x14ac:dyDescent="0.5">
      <c r="B108" s="44" t="s">
        <v>19</v>
      </c>
      <c r="C108" s="44" t="str">
        <f>REPT(B108,4)</f>
        <v>AjayAjayAjayAjay</v>
      </c>
    </row>
    <row r="110" spans="2:3" x14ac:dyDescent="0.5">
      <c r="B110" s="3" t="s">
        <v>58</v>
      </c>
    </row>
    <row r="111" spans="2:3" x14ac:dyDescent="0.5">
      <c r="B111" s="44" t="s">
        <v>59</v>
      </c>
      <c r="C111" s="44">
        <f>CODE(B111)</f>
        <v>97</v>
      </c>
    </row>
    <row r="112" spans="2:3" x14ac:dyDescent="0.5">
      <c r="B112" s="44" t="s">
        <v>60</v>
      </c>
      <c r="C112" s="44">
        <f t="shared" ref="C112:C114" si="4">CODE(B112)</f>
        <v>116</v>
      </c>
    </row>
    <row r="113" spans="2:3" x14ac:dyDescent="0.5">
      <c r="B113" s="44" t="s">
        <v>61</v>
      </c>
      <c r="C113" s="44">
        <f t="shared" si="4"/>
        <v>104</v>
      </c>
    </row>
    <row r="114" spans="2:3" x14ac:dyDescent="0.5">
      <c r="B114" s="44" t="s">
        <v>62</v>
      </c>
      <c r="C114" s="44">
        <f t="shared" si="4"/>
        <v>115</v>
      </c>
    </row>
    <row r="116" spans="2:3" x14ac:dyDescent="0.5">
      <c r="B116" s="3" t="s">
        <v>63</v>
      </c>
    </row>
    <row r="117" spans="2:3" x14ac:dyDescent="0.5">
      <c r="B117" s="44">
        <v>97</v>
      </c>
      <c r="C117" s="44" t="str">
        <f>CHAR(B117)</f>
        <v>a</v>
      </c>
    </row>
    <row r="118" spans="2:3" x14ac:dyDescent="0.5">
      <c r="B118" s="44">
        <v>115</v>
      </c>
      <c r="C118" s="44" t="str">
        <f t="shared" ref="C118:C120" si="5">CHAR(B118)</f>
        <v>s</v>
      </c>
    </row>
    <row r="119" spans="2:3" x14ac:dyDescent="0.5">
      <c r="B119" s="44">
        <v>104</v>
      </c>
      <c r="C119" s="44" t="str">
        <f t="shared" si="5"/>
        <v>h</v>
      </c>
    </row>
    <row r="120" spans="2:3" x14ac:dyDescent="0.5">
      <c r="B120" s="44">
        <v>25</v>
      </c>
      <c r="C120" s="44" t="str">
        <f t="shared" si="5"/>
        <v>_x0019_</v>
      </c>
    </row>
    <row r="122" spans="2:3" x14ac:dyDescent="0.5">
      <c r="B122" s="43" t="s">
        <v>64</v>
      </c>
    </row>
    <row r="123" spans="2:3" x14ac:dyDescent="0.5">
      <c r="B123" s="44" t="s">
        <v>17</v>
      </c>
    </row>
    <row r="124" spans="2:3" x14ac:dyDescent="0.5">
      <c r="B124" s="44" t="str">
        <f>REPLACE(B123,4,3,"p")</f>
        <v>Ajapingh Gahlawat</v>
      </c>
    </row>
    <row r="126" spans="2:3" x14ac:dyDescent="0.5">
      <c r="B126" s="43" t="s">
        <v>71</v>
      </c>
    </row>
    <row r="127" spans="2:3" x14ac:dyDescent="0.5">
      <c r="B127" s="44">
        <f>PI()</f>
        <v>3.1415926535897931</v>
      </c>
    </row>
    <row r="129" spans="2:3" x14ac:dyDescent="0.5">
      <c r="B129" s="3" t="s">
        <v>72</v>
      </c>
    </row>
    <row r="130" spans="2:3" x14ac:dyDescent="0.5">
      <c r="B130" s="79">
        <v>17394</v>
      </c>
      <c r="C130" s="79">
        <v>44838</v>
      </c>
    </row>
    <row r="131" spans="2:3" x14ac:dyDescent="0.5">
      <c r="B131" s="44" t="s">
        <v>73</v>
      </c>
      <c r="C131" s="44">
        <f>DATEDIF(B130,C130,"m")</f>
        <v>901</v>
      </c>
    </row>
    <row r="132" spans="2:3" x14ac:dyDescent="0.5">
      <c r="B132" s="44" t="s">
        <v>74</v>
      </c>
      <c r="C132" s="44">
        <f>DATEDIF(B130,C130,"y")</f>
        <v>75</v>
      </c>
    </row>
    <row r="133" spans="2:3" x14ac:dyDescent="0.5">
      <c r="B133" s="44" t="s">
        <v>75</v>
      </c>
      <c r="C133" s="44">
        <f>DATEDIF(B130,C130,"d")</f>
        <v>27444</v>
      </c>
    </row>
    <row r="135" spans="2:3" x14ac:dyDescent="0.5">
      <c r="B135" s="43" t="s">
        <v>76</v>
      </c>
    </row>
    <row r="136" spans="2:3" x14ac:dyDescent="0.5">
      <c r="B136" s="79">
        <f ca="1">TODAY()+6</f>
        <v>46131</v>
      </c>
    </row>
    <row r="137" spans="2:3" x14ac:dyDescent="0.5">
      <c r="B137" s="79">
        <f ca="1">TODAY()-6</f>
        <v>46119</v>
      </c>
    </row>
    <row r="139" spans="2:3" x14ac:dyDescent="0.5">
      <c r="B139" s="43" t="s">
        <v>77</v>
      </c>
      <c r="C139" s="43" t="s">
        <v>79</v>
      </c>
    </row>
    <row r="140" spans="2:3" x14ac:dyDescent="0.5">
      <c r="B140" s="44">
        <f>ROW(B139)</f>
        <v>139</v>
      </c>
      <c r="C140" s="44">
        <f>COLUMN(B139)</f>
        <v>2</v>
      </c>
    </row>
    <row r="142" spans="2:3" x14ac:dyDescent="0.5">
      <c r="B142" s="43" t="s">
        <v>78</v>
      </c>
      <c r="C142" s="43" t="s">
        <v>80</v>
      </c>
    </row>
    <row r="143" spans="2:3" x14ac:dyDescent="0.5">
      <c r="B143" s="44">
        <f>ROWS(B130:B140)</f>
        <v>11</v>
      </c>
      <c r="C143" s="44">
        <f>COLUMNS(B135:C140)</f>
        <v>2</v>
      </c>
    </row>
    <row r="145" spans="2:3" x14ac:dyDescent="0.5">
      <c r="B145" s="43" t="s">
        <v>81</v>
      </c>
    </row>
    <row r="146" spans="2:3" x14ac:dyDescent="0.5">
      <c r="B146" s="44" t="s">
        <v>17</v>
      </c>
    </row>
    <row r="147" spans="2:3" x14ac:dyDescent="0.5">
      <c r="B147" s="44">
        <f>FIND("a",B146)</f>
        <v>3</v>
      </c>
    </row>
    <row r="149" spans="2:3" x14ac:dyDescent="0.5">
      <c r="B149" s="43" t="s">
        <v>82</v>
      </c>
    </row>
    <row r="150" spans="2:3" x14ac:dyDescent="0.5">
      <c r="B150" s="44" t="s">
        <v>83</v>
      </c>
      <c r="C150" s="44" t="s">
        <v>40</v>
      </c>
    </row>
    <row r="151" spans="2:3" x14ac:dyDescent="0.5">
      <c r="B151" s="44" t="str">
        <f>B150&amp;"       "&amp;C150</f>
        <v>Ajay        Singh</v>
      </c>
    </row>
    <row r="153" spans="2:3" x14ac:dyDescent="0.5">
      <c r="B153" s="3" t="s">
        <v>84</v>
      </c>
    </row>
    <row r="154" spans="2:3" x14ac:dyDescent="0.5">
      <c r="B154" s="44">
        <v>9</v>
      </c>
      <c r="C154" s="44">
        <f>EVEN(B154)</f>
        <v>10</v>
      </c>
    </row>
    <row r="155" spans="2:3" x14ac:dyDescent="0.5">
      <c r="B155" s="44">
        <v>7</v>
      </c>
      <c r="C155" s="44">
        <f t="shared" ref="C155:C161" si="6">EVEN(B155)</f>
        <v>8</v>
      </c>
    </row>
    <row r="156" spans="2:3" x14ac:dyDescent="0.5">
      <c r="B156" s="44">
        <v>5</v>
      </c>
      <c r="C156" s="44">
        <f t="shared" si="6"/>
        <v>6</v>
      </c>
    </row>
    <row r="157" spans="2:3" x14ac:dyDescent="0.5">
      <c r="B157" s="44">
        <v>13</v>
      </c>
      <c r="C157" s="44">
        <f t="shared" si="6"/>
        <v>14</v>
      </c>
    </row>
    <row r="158" spans="2:3" x14ac:dyDescent="0.5">
      <c r="B158" s="44">
        <v>15</v>
      </c>
      <c r="C158" s="44">
        <f t="shared" si="6"/>
        <v>16</v>
      </c>
    </row>
    <row r="159" spans="2:3" x14ac:dyDescent="0.5">
      <c r="B159" s="44">
        <v>18</v>
      </c>
      <c r="C159" s="44">
        <f t="shared" si="6"/>
        <v>18</v>
      </c>
    </row>
    <row r="160" spans="2:3" x14ac:dyDescent="0.5">
      <c r="B160" s="44">
        <v>19</v>
      </c>
      <c r="C160" s="44">
        <f t="shared" si="6"/>
        <v>20</v>
      </c>
    </row>
    <row r="161" spans="2:10" x14ac:dyDescent="0.5">
      <c r="B161" s="44">
        <v>23</v>
      </c>
      <c r="C161" s="44">
        <f t="shared" si="6"/>
        <v>24</v>
      </c>
    </row>
    <row r="163" spans="2:10" x14ac:dyDescent="0.5">
      <c r="B163" s="3" t="s">
        <v>85</v>
      </c>
    </row>
    <row r="164" spans="2:10" x14ac:dyDescent="0.5">
      <c r="B164" s="44">
        <v>2</v>
      </c>
      <c r="C164" s="44">
        <f>ODD(B164)</f>
        <v>3</v>
      </c>
    </row>
    <row r="165" spans="2:10" x14ac:dyDescent="0.5">
      <c r="B165" s="44">
        <v>4</v>
      </c>
      <c r="C165" s="44">
        <f t="shared" ref="C165:C170" si="7">ODD(B165)</f>
        <v>5</v>
      </c>
    </row>
    <row r="166" spans="2:10" x14ac:dyDescent="0.5">
      <c r="B166" s="44">
        <v>6</v>
      </c>
      <c r="C166" s="44">
        <f t="shared" si="7"/>
        <v>7</v>
      </c>
    </row>
    <row r="167" spans="2:10" x14ac:dyDescent="0.5">
      <c r="B167" s="44">
        <v>8</v>
      </c>
      <c r="C167" s="44">
        <f t="shared" si="7"/>
        <v>9</v>
      </c>
    </row>
    <row r="168" spans="2:10" x14ac:dyDescent="0.5">
      <c r="B168" s="44">
        <v>12</v>
      </c>
      <c r="C168" s="44">
        <f t="shared" si="7"/>
        <v>13</v>
      </c>
    </row>
    <row r="169" spans="2:10" x14ac:dyDescent="0.5">
      <c r="B169" s="44">
        <v>24</v>
      </c>
      <c r="C169" s="44">
        <f t="shared" si="7"/>
        <v>25</v>
      </c>
    </row>
    <row r="170" spans="2:10" x14ac:dyDescent="0.5">
      <c r="B170" s="44">
        <v>62</v>
      </c>
      <c r="C170" s="44">
        <f t="shared" si="7"/>
        <v>63</v>
      </c>
    </row>
    <row r="174" spans="2:10" x14ac:dyDescent="0.5">
      <c r="G174" s="43" t="s">
        <v>90</v>
      </c>
      <c r="H174" s="43" t="s">
        <v>92</v>
      </c>
    </row>
    <row r="175" spans="2:10" x14ac:dyDescent="0.5">
      <c r="B175" s="44" t="s">
        <v>86</v>
      </c>
      <c r="C175" s="44" t="s">
        <v>87</v>
      </c>
      <c r="D175" s="44" t="s">
        <v>43</v>
      </c>
      <c r="E175" s="44" t="s">
        <v>88</v>
      </c>
      <c r="F175" s="44" t="s">
        <v>89</v>
      </c>
      <c r="G175" s="44">
        <f>COUNT(F176:F182)</f>
        <v>7</v>
      </c>
      <c r="H175" s="44">
        <f>COUNTA(F175:F182)-COUNT(F176:F182)</f>
        <v>1</v>
      </c>
      <c r="J175" s="48">
        <f>COUNT(C176:F182)</f>
        <v>27</v>
      </c>
    </row>
    <row r="176" spans="2:10" x14ac:dyDescent="0.5">
      <c r="B176" s="44" t="s">
        <v>47</v>
      </c>
      <c r="C176" s="44">
        <v>81</v>
      </c>
      <c r="D176" s="44">
        <v>66</v>
      </c>
      <c r="E176" s="44">
        <v>88</v>
      </c>
      <c r="F176" s="44">
        <v>82</v>
      </c>
    </row>
    <row r="177" spans="2:10" x14ac:dyDescent="0.5">
      <c r="B177" s="44" t="s">
        <v>48</v>
      </c>
      <c r="C177" s="44">
        <v>74</v>
      </c>
      <c r="D177" s="44">
        <v>89</v>
      </c>
      <c r="E177" s="44">
        <v>84</v>
      </c>
      <c r="F177" s="44">
        <v>89</v>
      </c>
      <c r="G177" s="43" t="s">
        <v>91</v>
      </c>
      <c r="H177" s="43" t="s">
        <v>93</v>
      </c>
    </row>
    <row r="178" spans="2:10" x14ac:dyDescent="0.5">
      <c r="B178" s="44" t="s">
        <v>49</v>
      </c>
      <c r="C178" s="44">
        <v>72</v>
      </c>
      <c r="D178" s="44">
        <v>67</v>
      </c>
      <c r="E178" s="44">
        <v>89</v>
      </c>
      <c r="F178" s="44">
        <v>69</v>
      </c>
      <c r="G178" s="44">
        <f>COUNTA(F175:F182)</f>
        <v>8</v>
      </c>
      <c r="H178" s="44">
        <f>COUNTBLANK(C176:C182)</f>
        <v>1</v>
      </c>
    </row>
    <row r="179" spans="2:10" x14ac:dyDescent="0.5">
      <c r="B179" s="44" t="s">
        <v>143</v>
      </c>
      <c r="C179" s="44"/>
      <c r="D179" s="44">
        <v>72</v>
      </c>
      <c r="E179" s="44">
        <v>74</v>
      </c>
      <c r="F179" s="44">
        <v>71</v>
      </c>
      <c r="J179" s="48">
        <f>COUNTA(C175:F182)</f>
        <v>31</v>
      </c>
    </row>
    <row r="180" spans="2:10" x14ac:dyDescent="0.5">
      <c r="B180" s="44" t="s">
        <v>51</v>
      </c>
      <c r="C180" s="44">
        <v>86</v>
      </c>
      <c r="D180" s="44">
        <v>89</v>
      </c>
      <c r="E180" s="44">
        <v>90</v>
      </c>
      <c r="F180" s="44">
        <v>67</v>
      </c>
      <c r="G180" s="43" t="s">
        <v>94</v>
      </c>
      <c r="H180" s="43" t="s">
        <v>212</v>
      </c>
    </row>
    <row r="181" spans="2:10" x14ac:dyDescent="0.5">
      <c r="B181" s="44" t="s">
        <v>19</v>
      </c>
      <c r="C181" s="44">
        <v>87</v>
      </c>
      <c r="D181" s="44">
        <v>71</v>
      </c>
      <c r="E181" s="44">
        <v>86</v>
      </c>
      <c r="F181" s="44">
        <v>65</v>
      </c>
      <c r="G181" s="44">
        <f>COUNTIF(B175:F182,"AJAY")</f>
        <v>2</v>
      </c>
      <c r="H181" s="44">
        <f>COUNTIF(C178:F178,"&gt;=70")</f>
        <v>2</v>
      </c>
    </row>
    <row r="182" spans="2:10" x14ac:dyDescent="0.5">
      <c r="B182" s="44" t="s">
        <v>52</v>
      </c>
      <c r="C182" s="44">
        <v>90</v>
      </c>
      <c r="D182" s="44">
        <v>90</v>
      </c>
      <c r="E182" s="44">
        <v>78</v>
      </c>
      <c r="F182" s="44">
        <v>88</v>
      </c>
    </row>
    <row r="185" spans="2:10" x14ac:dyDescent="0.5">
      <c r="I185" s="43" t="s">
        <v>95</v>
      </c>
    </row>
    <row r="186" spans="2:10" x14ac:dyDescent="0.5">
      <c r="B186" s="44" t="s">
        <v>86</v>
      </c>
      <c r="C186" s="44" t="s">
        <v>87</v>
      </c>
      <c r="D186" s="44" t="s">
        <v>43</v>
      </c>
      <c r="E186" s="44" t="s">
        <v>88</v>
      </c>
      <c r="F186" s="44" t="s">
        <v>89</v>
      </c>
      <c r="G186" s="44" t="s">
        <v>96</v>
      </c>
      <c r="H186" s="44" t="s">
        <v>97</v>
      </c>
      <c r="I186" s="44">
        <f>COUNTIFS(H187:H193,"pass",B187:B193,"Ajay")</f>
        <v>1</v>
      </c>
    </row>
    <row r="187" spans="2:10" x14ac:dyDescent="0.5">
      <c r="B187" s="44" t="s">
        <v>47</v>
      </c>
      <c r="C187" s="44">
        <v>81</v>
      </c>
      <c r="D187" s="44">
        <v>66</v>
      </c>
      <c r="E187" s="44">
        <v>88</v>
      </c>
      <c r="F187" s="44">
        <v>82</v>
      </c>
      <c r="G187" s="44">
        <f>SUM(C187:F187)</f>
        <v>317</v>
      </c>
      <c r="H187" s="44" t="str">
        <f>IF(G187&gt;300,"pass","fail")</f>
        <v>pass</v>
      </c>
    </row>
    <row r="188" spans="2:10" x14ac:dyDescent="0.5">
      <c r="B188" s="44" t="s">
        <v>48</v>
      </c>
      <c r="C188" s="44">
        <v>74</v>
      </c>
      <c r="D188" s="44">
        <v>89</v>
      </c>
      <c r="E188" s="44">
        <v>84</v>
      </c>
      <c r="F188" s="44">
        <v>89</v>
      </c>
      <c r="G188" s="44">
        <f t="shared" ref="G188:G193" si="8">SUM(C188:F188)</f>
        <v>336</v>
      </c>
      <c r="H188" s="44" t="str">
        <f t="shared" ref="H188:H193" si="9">IF(G188&gt;300,"pass","fail")</f>
        <v>pass</v>
      </c>
    </row>
    <row r="189" spans="2:10" x14ac:dyDescent="0.5">
      <c r="B189" s="44" t="s">
        <v>49</v>
      </c>
      <c r="C189" s="44">
        <v>72</v>
      </c>
      <c r="D189" s="44">
        <v>67</v>
      </c>
      <c r="E189" s="44">
        <v>89</v>
      </c>
      <c r="F189" s="44">
        <v>69</v>
      </c>
      <c r="G189" s="44">
        <f t="shared" si="8"/>
        <v>297</v>
      </c>
      <c r="H189" s="44" t="str">
        <f t="shared" si="9"/>
        <v>fail</v>
      </c>
    </row>
    <row r="190" spans="2:10" x14ac:dyDescent="0.5">
      <c r="B190" s="44" t="s">
        <v>50</v>
      </c>
      <c r="C190" s="44">
        <v>54</v>
      </c>
      <c r="D190" s="44">
        <v>72</v>
      </c>
      <c r="E190" s="44">
        <v>74</v>
      </c>
      <c r="F190" s="44">
        <v>71</v>
      </c>
      <c r="G190" s="44">
        <f t="shared" si="8"/>
        <v>271</v>
      </c>
      <c r="H190" s="44" t="str">
        <f t="shared" si="9"/>
        <v>fail</v>
      </c>
    </row>
    <row r="191" spans="2:10" x14ac:dyDescent="0.5">
      <c r="B191" s="44" t="s">
        <v>51</v>
      </c>
      <c r="C191" s="44">
        <v>86</v>
      </c>
      <c r="D191" s="44">
        <v>89</v>
      </c>
      <c r="E191" s="44">
        <v>90</v>
      </c>
      <c r="F191" s="44">
        <v>67</v>
      </c>
      <c r="G191" s="44">
        <f t="shared" si="8"/>
        <v>332</v>
      </c>
      <c r="H191" s="44" t="str">
        <f t="shared" si="9"/>
        <v>pass</v>
      </c>
    </row>
    <row r="192" spans="2:10" x14ac:dyDescent="0.5">
      <c r="B192" s="44" t="s">
        <v>19</v>
      </c>
      <c r="C192" s="44">
        <v>87</v>
      </c>
      <c r="D192" s="44">
        <v>71</v>
      </c>
      <c r="E192" s="44">
        <v>86</v>
      </c>
      <c r="F192" s="44">
        <v>65</v>
      </c>
      <c r="G192" s="44">
        <f t="shared" si="8"/>
        <v>309</v>
      </c>
      <c r="H192" s="44" t="str">
        <f t="shared" si="9"/>
        <v>pass</v>
      </c>
    </row>
    <row r="193" spans="2:8" x14ac:dyDescent="0.5">
      <c r="B193" s="44" t="s">
        <v>52</v>
      </c>
      <c r="C193" s="44">
        <v>90</v>
      </c>
      <c r="D193" s="44">
        <v>90</v>
      </c>
      <c r="E193" s="44">
        <v>78</v>
      </c>
      <c r="F193" s="44">
        <v>88</v>
      </c>
      <c r="G193" s="44">
        <f t="shared" si="8"/>
        <v>346</v>
      </c>
      <c r="H193" s="44" t="str">
        <f t="shared" si="9"/>
        <v>pass</v>
      </c>
    </row>
    <row r="196" spans="2:8" x14ac:dyDescent="0.5">
      <c r="B196" s="44" t="s">
        <v>98</v>
      </c>
      <c r="C196" s="44" t="s">
        <v>101</v>
      </c>
      <c r="D196" s="44">
        <v>45</v>
      </c>
      <c r="E196" s="43" t="s">
        <v>104</v>
      </c>
    </row>
    <row r="197" spans="2:8" x14ac:dyDescent="0.5">
      <c r="B197" s="44" t="s">
        <v>99</v>
      </c>
      <c r="C197" s="44" t="s">
        <v>102</v>
      </c>
      <c r="D197" s="44">
        <v>65</v>
      </c>
      <c r="E197" s="44">
        <f>SUMIF(B196:B204,B196,D196:D204)</f>
        <v>155</v>
      </c>
    </row>
    <row r="198" spans="2:8" x14ac:dyDescent="0.5">
      <c r="B198" s="44" t="s">
        <v>100</v>
      </c>
      <c r="C198" s="44" t="s">
        <v>102</v>
      </c>
      <c r="D198" s="44">
        <v>35</v>
      </c>
    </row>
    <row r="199" spans="2:8" x14ac:dyDescent="0.5">
      <c r="B199" s="44" t="s">
        <v>100</v>
      </c>
      <c r="C199" s="44" t="s">
        <v>101</v>
      </c>
      <c r="D199" s="44">
        <v>15</v>
      </c>
      <c r="E199" s="43" t="s">
        <v>105</v>
      </c>
    </row>
    <row r="200" spans="2:8" x14ac:dyDescent="0.5">
      <c r="B200" s="44" t="s">
        <v>99</v>
      </c>
      <c r="C200" s="44" t="s">
        <v>103</v>
      </c>
      <c r="D200" s="44">
        <v>25</v>
      </c>
      <c r="E200" s="44">
        <f>SUMIFS(D196:D204,C196:C204,C196,B196:B204,B196)</f>
        <v>45</v>
      </c>
    </row>
    <row r="201" spans="2:8" x14ac:dyDescent="0.5">
      <c r="B201" s="44" t="s">
        <v>98</v>
      </c>
      <c r="C201" s="44" t="s">
        <v>103</v>
      </c>
      <c r="D201" s="44">
        <v>45</v>
      </c>
    </row>
    <row r="202" spans="2:8" x14ac:dyDescent="0.5">
      <c r="B202" s="44" t="s">
        <v>99</v>
      </c>
      <c r="C202" s="44" t="s">
        <v>101</v>
      </c>
      <c r="D202" s="44">
        <v>75</v>
      </c>
    </row>
    <row r="203" spans="2:8" x14ac:dyDescent="0.5">
      <c r="B203" s="44" t="s">
        <v>98</v>
      </c>
      <c r="C203" s="44" t="s">
        <v>102</v>
      </c>
      <c r="D203" s="44">
        <v>65</v>
      </c>
    </row>
    <row r="204" spans="2:8" x14ac:dyDescent="0.5">
      <c r="B204" s="44" t="s">
        <v>100</v>
      </c>
      <c r="C204" s="44" t="s">
        <v>101</v>
      </c>
      <c r="D204" s="44">
        <v>45</v>
      </c>
    </row>
    <row r="207" spans="2:8" x14ac:dyDescent="0.5">
      <c r="B207" s="3" t="s">
        <v>106</v>
      </c>
    </row>
    <row r="208" spans="2:8" x14ac:dyDescent="0.5">
      <c r="B208" s="44">
        <v>25</v>
      </c>
      <c r="C208" s="44">
        <f>SUM(B208:$B$208)</f>
        <v>25</v>
      </c>
    </row>
    <row r="209" spans="2:5" x14ac:dyDescent="0.5">
      <c r="B209" s="44">
        <v>35</v>
      </c>
      <c r="C209" s="44">
        <f>SUM(B$208:$B209)</f>
        <v>60</v>
      </c>
    </row>
    <row r="210" spans="2:5" x14ac:dyDescent="0.5">
      <c r="B210" s="44">
        <v>26</v>
      </c>
      <c r="C210" s="44">
        <f>SUM(B$208:$B210)</f>
        <v>86</v>
      </c>
    </row>
    <row r="211" spans="2:5" x14ac:dyDescent="0.5">
      <c r="B211" s="44">
        <v>24</v>
      </c>
      <c r="C211" s="44">
        <f>SUM(B$208:$B211)</f>
        <v>110</v>
      </c>
    </row>
    <row r="212" spans="2:5" x14ac:dyDescent="0.5">
      <c r="B212" s="44">
        <v>25</v>
      </c>
      <c r="C212" s="44">
        <f>SUM(B$208:$B212)</f>
        <v>135</v>
      </c>
    </row>
    <row r="215" spans="2:5" x14ac:dyDescent="0.5">
      <c r="B215" s="3" t="s">
        <v>107</v>
      </c>
    </row>
    <row r="216" spans="2:5" x14ac:dyDescent="0.5">
      <c r="B216" s="44">
        <v>2</v>
      </c>
      <c r="C216" s="44">
        <v>4</v>
      </c>
      <c r="D216" s="44">
        <f>SUMPRODUCT(B216,C216)</f>
        <v>8</v>
      </c>
    </row>
    <row r="217" spans="2:5" x14ac:dyDescent="0.5">
      <c r="B217" s="44">
        <v>3</v>
      </c>
      <c r="C217" s="44">
        <v>3</v>
      </c>
      <c r="D217" s="44">
        <f>SUMPRODUCT(B217,C217)</f>
        <v>9</v>
      </c>
    </row>
    <row r="218" spans="2:5" x14ac:dyDescent="0.5">
      <c r="B218" s="44">
        <v>4</v>
      </c>
      <c r="C218" s="44">
        <v>2</v>
      </c>
      <c r="D218" s="44">
        <f>SUMPRODUCT(B218,C218)</f>
        <v>8</v>
      </c>
    </row>
    <row r="219" spans="2:5" x14ac:dyDescent="0.5">
      <c r="B219" s="44">
        <v>5</v>
      </c>
      <c r="C219" s="44">
        <v>5</v>
      </c>
      <c r="D219" s="44">
        <f>SUMPRODUCT(B219,C219)</f>
        <v>25</v>
      </c>
    </row>
    <row r="221" spans="2:5" x14ac:dyDescent="0.5">
      <c r="C221" s="44">
        <f>SUMPRODUCT(B216:B219,C216:C219)</f>
        <v>50</v>
      </c>
    </row>
    <row r="223" spans="2:5" x14ac:dyDescent="0.5">
      <c r="B223" s="3" t="s">
        <v>108</v>
      </c>
    </row>
    <row r="224" spans="2:5" x14ac:dyDescent="0.5">
      <c r="B224" s="44">
        <v>4</v>
      </c>
      <c r="C224" s="44">
        <v>6</v>
      </c>
      <c r="D224" s="44">
        <f>PRODUCT(B224:B227,C224:C227)</f>
        <v>57600</v>
      </c>
      <c r="E224" s="44">
        <f>PRODUCT(B224:B225,C224:C225)</f>
        <v>240</v>
      </c>
    </row>
    <row r="225" spans="2:4" x14ac:dyDescent="0.5">
      <c r="B225" s="44">
        <v>5</v>
      </c>
      <c r="C225" s="44">
        <v>2</v>
      </c>
    </row>
    <row r="226" spans="2:4" x14ac:dyDescent="0.5">
      <c r="B226" s="44">
        <v>2</v>
      </c>
      <c r="C226" s="44">
        <v>5</v>
      </c>
    </row>
    <row r="227" spans="2:4" x14ac:dyDescent="0.5">
      <c r="B227" s="44">
        <v>6</v>
      </c>
      <c r="C227" s="44">
        <v>4</v>
      </c>
    </row>
    <row r="230" spans="2:4" x14ac:dyDescent="0.5">
      <c r="B230" s="3" t="s">
        <v>109</v>
      </c>
    </row>
    <row r="231" spans="2:4" x14ac:dyDescent="0.5">
      <c r="B231" s="44">
        <v>5</v>
      </c>
      <c r="C231" s="44">
        <v>4</v>
      </c>
      <c r="D231" s="44">
        <f>SUMSQ(B231,C231)</f>
        <v>41</v>
      </c>
    </row>
    <row r="232" spans="2:4" x14ac:dyDescent="0.5">
      <c r="B232" s="44">
        <v>3</v>
      </c>
      <c r="C232" s="44">
        <v>5</v>
      </c>
    </row>
    <row r="233" spans="2:4" x14ac:dyDescent="0.5">
      <c r="B233" s="44">
        <v>6</v>
      </c>
      <c r="C233" s="44">
        <v>6</v>
      </c>
    </row>
    <row r="236" spans="2:4" x14ac:dyDescent="0.5">
      <c r="B236" s="149" t="s">
        <v>192</v>
      </c>
      <c r="C236" s="149"/>
    </row>
    <row r="237" spans="2:4" x14ac:dyDescent="0.5">
      <c r="B237" s="150"/>
      <c r="C237" s="150"/>
    </row>
    <row r="238" spans="2:4" x14ac:dyDescent="0.5">
      <c r="B238" s="148" t="s">
        <v>191</v>
      </c>
      <c r="C238" s="148"/>
      <c r="D238" s="148"/>
    </row>
    <row r="239" spans="2:4" x14ac:dyDescent="0.5">
      <c r="B239" s="83" t="str">
        <f>SUBSTITUTE(B238,"BAD","GOOD")</f>
        <v>I AM A GOOD BOY.</v>
      </c>
    </row>
    <row r="242" spans="2:3" x14ac:dyDescent="0.5">
      <c r="B242" s="3" t="s">
        <v>213</v>
      </c>
    </row>
    <row r="243" spans="2:3" x14ac:dyDescent="0.5">
      <c r="B243" s="44">
        <v>32.89</v>
      </c>
      <c r="C243" s="44">
        <f>ROUND(B243,0)</f>
        <v>33</v>
      </c>
    </row>
    <row r="244" spans="2:3" x14ac:dyDescent="0.5">
      <c r="B244" s="44">
        <v>32.32</v>
      </c>
      <c r="C244" s="44">
        <f>ROUND(B244,0)</f>
        <v>32</v>
      </c>
    </row>
    <row r="246" spans="2:3" x14ac:dyDescent="0.5">
      <c r="B246" s="3" t="s">
        <v>214</v>
      </c>
    </row>
    <row r="247" spans="2:3" x14ac:dyDescent="0.5">
      <c r="B247" s="44">
        <v>322.32</v>
      </c>
      <c r="C247" s="44">
        <f>ROUNDUP(B247,0)</f>
        <v>323</v>
      </c>
    </row>
    <row r="249" spans="2:3" x14ac:dyDescent="0.5">
      <c r="B249" s="3" t="s">
        <v>215</v>
      </c>
    </row>
    <row r="250" spans="2:3" x14ac:dyDescent="0.5">
      <c r="B250" s="44">
        <v>322.89</v>
      </c>
      <c r="C250" s="44">
        <f>ROUNDDOWN(B250,0)</f>
        <v>322</v>
      </c>
    </row>
    <row r="252" spans="2:3" x14ac:dyDescent="0.5">
      <c r="B252" s="3" t="s">
        <v>216</v>
      </c>
    </row>
    <row r="253" spans="2:3" x14ac:dyDescent="0.5">
      <c r="B253" s="44">
        <v>3232</v>
      </c>
      <c r="C253" s="44">
        <f>MROUND(B253,12)</f>
        <v>3228</v>
      </c>
    </row>
    <row r="255" spans="2:3" x14ac:dyDescent="0.5">
      <c r="B255" s="3" t="s">
        <v>217</v>
      </c>
    </row>
    <row r="256" spans="2:3" x14ac:dyDescent="0.5">
      <c r="B256" s="44">
        <v>152</v>
      </c>
      <c r="C256" s="44">
        <f>CEILING(B256,12)</f>
        <v>156</v>
      </c>
    </row>
    <row r="258" spans="2:10" x14ac:dyDescent="0.5">
      <c r="B258" s="3" t="s">
        <v>218</v>
      </c>
    </row>
    <row r="259" spans="2:10" x14ac:dyDescent="0.5">
      <c r="B259" s="44">
        <v>125</v>
      </c>
      <c r="C259" s="44">
        <f>FLOOR(B2595,12)</f>
        <v>0</v>
      </c>
      <c r="F259"/>
      <c r="G259"/>
      <c r="H259"/>
      <c r="I259"/>
      <c r="J259"/>
    </row>
    <row r="260" spans="2:10" x14ac:dyDescent="0.5">
      <c r="F260"/>
      <c r="G260"/>
      <c r="H260"/>
      <c r="I260"/>
      <c r="J260"/>
    </row>
    <row r="261" spans="2:10" x14ac:dyDescent="0.5">
      <c r="B261" s="43" t="s">
        <v>313</v>
      </c>
      <c r="F261"/>
      <c r="G261"/>
      <c r="H261"/>
      <c r="I261"/>
      <c r="J261"/>
    </row>
    <row r="262" spans="2:10" x14ac:dyDescent="0.5">
      <c r="B262" s="79">
        <v>44862</v>
      </c>
      <c r="C262" s="79">
        <f ca="1">TODAY()+20</f>
        <v>46145</v>
      </c>
      <c r="F262"/>
      <c r="G262"/>
      <c r="H262"/>
      <c r="I262"/>
      <c r="J262"/>
    </row>
    <row r="263" spans="2:10" ht="23.5" x14ac:dyDescent="0.5">
      <c r="B263" s="87">
        <f ca="1">NETWORKDAYS(B262,C262)</f>
        <v>916</v>
      </c>
      <c r="F263"/>
      <c r="G263"/>
      <c r="H263"/>
      <c r="I263"/>
      <c r="J263"/>
    </row>
    <row r="264" spans="2:10" x14ac:dyDescent="0.5">
      <c r="F264"/>
      <c r="G264"/>
      <c r="H264"/>
      <c r="I264"/>
      <c r="J264"/>
    </row>
    <row r="265" spans="2:10" x14ac:dyDescent="0.5">
      <c r="B265" s="143" t="s">
        <v>314</v>
      </c>
      <c r="C265" s="143"/>
      <c r="D265" s="44" t="s">
        <v>315</v>
      </c>
      <c r="F265"/>
      <c r="G265"/>
      <c r="H265"/>
      <c r="I265"/>
      <c r="J265"/>
    </row>
    <row r="266" spans="2:10" x14ac:dyDescent="0.5">
      <c r="B266" s="79">
        <v>44862</v>
      </c>
      <c r="C266" s="79">
        <f ca="1">TODAY()+20</f>
        <v>46145</v>
      </c>
      <c r="D266" s="79">
        <v>44869</v>
      </c>
      <c r="F266"/>
      <c r="G266"/>
      <c r="H266"/>
      <c r="I266"/>
      <c r="J266"/>
    </row>
    <row r="267" spans="2:10" ht="23.5" x14ac:dyDescent="0.5">
      <c r="B267" s="87">
        <f ca="1">NETWORKDAYS(B266,C266,D266)</f>
        <v>915</v>
      </c>
      <c r="F267"/>
      <c r="G267"/>
      <c r="H267"/>
      <c r="I267"/>
      <c r="J267"/>
    </row>
    <row r="268" spans="2:10" x14ac:dyDescent="0.5">
      <c r="F268"/>
      <c r="G268"/>
      <c r="H268"/>
      <c r="I268"/>
      <c r="J268"/>
    </row>
    <row r="269" spans="2:10" x14ac:dyDescent="0.5">
      <c r="B269" s="3" t="s">
        <v>362</v>
      </c>
      <c r="F269"/>
      <c r="G269"/>
      <c r="H269"/>
      <c r="I269"/>
      <c r="J269"/>
    </row>
    <row r="270" spans="2:10" x14ac:dyDescent="0.5">
      <c r="B270" s="44">
        <v>6</v>
      </c>
      <c r="C270" s="44" t="s">
        <v>363</v>
      </c>
      <c r="D270" s="44" t="s">
        <v>364</v>
      </c>
      <c r="F270"/>
      <c r="G270"/>
      <c r="H270"/>
      <c r="I270"/>
      <c r="J270"/>
    </row>
    <row r="271" spans="2:10" x14ac:dyDescent="0.5">
      <c r="B271" s="44">
        <f>CONVERT(B270,C270,D270)</f>
        <v>72</v>
      </c>
      <c r="F271"/>
      <c r="G271"/>
      <c r="H271"/>
      <c r="I271"/>
      <c r="J271"/>
    </row>
    <row r="272" spans="2:10" x14ac:dyDescent="0.5">
      <c r="F272"/>
      <c r="G272"/>
      <c r="H272"/>
      <c r="I272"/>
      <c r="J272"/>
    </row>
    <row r="273" spans="2:10" x14ac:dyDescent="0.5">
      <c r="F273"/>
      <c r="G273"/>
      <c r="H273"/>
      <c r="I273"/>
      <c r="J273"/>
    </row>
    <row r="274" spans="2:10" x14ac:dyDescent="0.5">
      <c r="F274"/>
      <c r="G274"/>
      <c r="H274"/>
      <c r="I274"/>
      <c r="J274"/>
    </row>
    <row r="275" spans="2:10" x14ac:dyDescent="0.5">
      <c r="B275" s="3" t="s">
        <v>369</v>
      </c>
      <c r="F275"/>
      <c r="G275"/>
      <c r="H275"/>
      <c r="I275"/>
      <c r="J275"/>
    </row>
    <row r="276" spans="2:10" x14ac:dyDescent="0.5">
      <c r="F276"/>
      <c r="G276"/>
      <c r="H276"/>
      <c r="I276"/>
      <c r="J276"/>
    </row>
    <row r="277" spans="2:10" x14ac:dyDescent="0.5">
      <c r="B277" s="44" t="s">
        <v>508</v>
      </c>
      <c r="C277" s="44" t="e">
        <f>_xlfn.SWITCH(B277,1,"jan",2,"feb",3,"mar",4,"apr")</f>
        <v>#N/A</v>
      </c>
      <c r="F277"/>
      <c r="G277"/>
      <c r="H277"/>
      <c r="I277"/>
      <c r="J277"/>
    </row>
    <row r="278" spans="2:10" x14ac:dyDescent="0.5">
      <c r="B278" s="44">
        <v>3</v>
      </c>
      <c r="C278" s="44" t="str">
        <f t="shared" ref="C278:C284" si="10">_xlfn.SWITCH(B278,1,"jan",2,"feb",3,"mar",4,"apr")</f>
        <v>mar</v>
      </c>
      <c r="F278"/>
      <c r="G278"/>
      <c r="H278"/>
      <c r="I278"/>
      <c r="J278"/>
    </row>
    <row r="279" spans="2:10" x14ac:dyDescent="0.5">
      <c r="B279" s="44">
        <v>2</v>
      </c>
      <c r="C279" s="44" t="str">
        <f t="shared" si="10"/>
        <v>feb</v>
      </c>
      <c r="F279"/>
      <c r="G279"/>
      <c r="H279"/>
      <c r="I279"/>
      <c r="J279"/>
    </row>
    <row r="280" spans="2:10" x14ac:dyDescent="0.5">
      <c r="B280" s="44">
        <v>4</v>
      </c>
      <c r="C280" s="44" t="str">
        <f t="shared" si="10"/>
        <v>apr</v>
      </c>
      <c r="F280"/>
      <c r="G280"/>
      <c r="H280"/>
      <c r="I280"/>
      <c r="J280"/>
    </row>
    <row r="281" spans="2:10" x14ac:dyDescent="0.5">
      <c r="B281" s="44">
        <v>2</v>
      </c>
      <c r="C281" s="44" t="str">
        <f t="shared" si="10"/>
        <v>feb</v>
      </c>
      <c r="F281"/>
      <c r="G281"/>
      <c r="H281"/>
      <c r="I281"/>
      <c r="J281"/>
    </row>
    <row r="282" spans="2:10" x14ac:dyDescent="0.5">
      <c r="B282" s="44">
        <v>1</v>
      </c>
      <c r="C282" s="44" t="str">
        <f t="shared" si="10"/>
        <v>jan</v>
      </c>
      <c r="F282"/>
      <c r="G282"/>
      <c r="H282"/>
      <c r="I282"/>
      <c r="J282"/>
    </row>
    <row r="283" spans="2:10" x14ac:dyDescent="0.5">
      <c r="B283" s="44">
        <v>2</v>
      </c>
      <c r="C283" s="44" t="str">
        <f t="shared" si="10"/>
        <v>feb</v>
      </c>
      <c r="F283"/>
      <c r="G283"/>
      <c r="H283"/>
      <c r="I283"/>
      <c r="J283"/>
    </row>
    <row r="284" spans="2:10" x14ac:dyDescent="0.5">
      <c r="B284" s="44">
        <v>3</v>
      </c>
      <c r="C284" s="44" t="str">
        <f t="shared" si="10"/>
        <v>mar</v>
      </c>
      <c r="F284"/>
      <c r="G284"/>
      <c r="H284"/>
      <c r="I284"/>
      <c r="J284"/>
    </row>
    <row r="285" spans="2:10" x14ac:dyDescent="0.5">
      <c r="F285"/>
      <c r="G285"/>
      <c r="H285"/>
      <c r="I285"/>
      <c r="J285"/>
    </row>
    <row r="286" spans="2:10" x14ac:dyDescent="0.5">
      <c r="B286" s="43" t="s">
        <v>370</v>
      </c>
      <c r="C286" s="43" t="s">
        <v>378</v>
      </c>
      <c r="D286" s="44">
        <v>3</v>
      </c>
      <c r="F286"/>
      <c r="G286"/>
      <c r="H286"/>
      <c r="I286"/>
      <c r="J286"/>
    </row>
    <row r="287" spans="2:10" x14ac:dyDescent="0.5">
      <c r="B287" s="44" t="s">
        <v>371</v>
      </c>
      <c r="C287" s="44" t="str">
        <f>CHOOSE(D286,B287,B288,B289,B290,B291,B292,B293)</f>
        <v>Tuesday</v>
      </c>
      <c r="F287"/>
      <c r="G287"/>
      <c r="H287"/>
      <c r="I287"/>
      <c r="J287"/>
    </row>
    <row r="288" spans="2:10" x14ac:dyDescent="0.5">
      <c r="B288" s="44" t="s">
        <v>372</v>
      </c>
      <c r="C288" s="44"/>
      <c r="F288"/>
      <c r="G288"/>
      <c r="H288"/>
      <c r="I288"/>
      <c r="J288"/>
    </row>
    <row r="289" spans="2:10" x14ac:dyDescent="0.5">
      <c r="B289" s="44" t="s">
        <v>373</v>
      </c>
      <c r="C289" s="44"/>
      <c r="F289"/>
      <c r="G289"/>
      <c r="H289"/>
      <c r="I289"/>
      <c r="J289"/>
    </row>
    <row r="290" spans="2:10" x14ac:dyDescent="0.5">
      <c r="B290" s="44" t="s">
        <v>374</v>
      </c>
      <c r="C290" s="44"/>
      <c r="F290"/>
      <c r="G290"/>
      <c r="H290"/>
      <c r="I290"/>
      <c r="J290"/>
    </row>
    <row r="291" spans="2:10" x14ac:dyDescent="0.5">
      <c r="B291" s="44" t="s">
        <v>375</v>
      </c>
      <c r="C291" s="44"/>
      <c r="F291"/>
      <c r="G291"/>
      <c r="H291"/>
      <c r="I291"/>
      <c r="J291"/>
    </row>
    <row r="292" spans="2:10" x14ac:dyDescent="0.5">
      <c r="B292" s="44" t="s">
        <v>376</v>
      </c>
      <c r="C292" s="44"/>
      <c r="F292"/>
      <c r="G292"/>
      <c r="H292"/>
      <c r="I292"/>
      <c r="J292"/>
    </row>
    <row r="293" spans="2:10" x14ac:dyDescent="0.5">
      <c r="B293" s="44" t="s">
        <v>377</v>
      </c>
      <c r="C293" s="44"/>
      <c r="F293"/>
      <c r="G293"/>
      <c r="H293"/>
      <c r="I293"/>
      <c r="J293"/>
    </row>
    <row r="294" spans="2:10" x14ac:dyDescent="0.5">
      <c r="F294"/>
      <c r="G294"/>
      <c r="H294"/>
      <c r="I294"/>
      <c r="J294"/>
    </row>
    <row r="295" spans="2:10" x14ac:dyDescent="0.5">
      <c r="F295"/>
      <c r="G295"/>
      <c r="H295"/>
      <c r="I295"/>
      <c r="J295"/>
    </row>
    <row r="296" spans="2:10" x14ac:dyDescent="0.5">
      <c r="B296" s="43" t="s">
        <v>379</v>
      </c>
      <c r="F296"/>
      <c r="G296"/>
      <c r="H296"/>
      <c r="I296"/>
      <c r="J296"/>
    </row>
    <row r="297" spans="2:10" x14ac:dyDescent="0.5">
      <c r="F297"/>
      <c r="G297"/>
      <c r="H297"/>
      <c r="I297"/>
      <c r="J297"/>
    </row>
    <row r="298" spans="2:10" x14ac:dyDescent="0.5">
      <c r="B298" s="44" t="s">
        <v>380</v>
      </c>
      <c r="C298" s="129">
        <v>0.45</v>
      </c>
      <c r="D298" s="44">
        <f>RANK(C298,$C$298:$C$305)</f>
        <v>7</v>
      </c>
      <c r="F298"/>
      <c r="G298"/>
      <c r="H298"/>
      <c r="I298"/>
      <c r="J298"/>
    </row>
    <row r="299" spans="2:10" x14ac:dyDescent="0.5">
      <c r="B299" s="44" t="s">
        <v>20</v>
      </c>
      <c r="C299" s="129">
        <v>0.76</v>
      </c>
      <c r="D299" s="44">
        <f t="shared" ref="D299:D305" si="11">RANK(C299,$C$298:$C$305)</f>
        <v>3</v>
      </c>
      <c r="F299"/>
      <c r="G299"/>
      <c r="H299"/>
      <c r="I299"/>
      <c r="J299"/>
    </row>
    <row r="300" spans="2:10" x14ac:dyDescent="0.5">
      <c r="B300" s="44" t="s">
        <v>381</v>
      </c>
      <c r="C300" s="129">
        <v>0.45</v>
      </c>
      <c r="D300" s="44">
        <f t="shared" si="11"/>
        <v>7</v>
      </c>
      <c r="F300"/>
      <c r="G300"/>
      <c r="H300"/>
      <c r="I300"/>
      <c r="J300"/>
    </row>
    <row r="301" spans="2:10" x14ac:dyDescent="0.5">
      <c r="B301" s="44" t="s">
        <v>382</v>
      </c>
      <c r="C301" s="129">
        <v>0.67</v>
      </c>
      <c r="D301" s="44">
        <f t="shared" si="11"/>
        <v>4</v>
      </c>
      <c r="F301"/>
      <c r="G301"/>
      <c r="H301"/>
      <c r="I301"/>
      <c r="J301"/>
    </row>
    <row r="302" spans="2:10" x14ac:dyDescent="0.5">
      <c r="B302" s="44" t="s">
        <v>383</v>
      </c>
      <c r="C302" s="129">
        <v>0.78</v>
      </c>
      <c r="D302" s="44">
        <f t="shared" si="11"/>
        <v>1</v>
      </c>
      <c r="F302"/>
      <c r="G302"/>
      <c r="H302"/>
      <c r="I302"/>
      <c r="J302"/>
    </row>
    <row r="303" spans="2:10" x14ac:dyDescent="0.5">
      <c r="B303" s="44" t="s">
        <v>384</v>
      </c>
      <c r="C303" s="129">
        <v>0.67</v>
      </c>
      <c r="D303" s="44">
        <f t="shared" si="11"/>
        <v>4</v>
      </c>
    </row>
    <row r="304" spans="2:10" x14ac:dyDescent="0.5">
      <c r="B304" s="44" t="s">
        <v>385</v>
      </c>
      <c r="C304" s="129">
        <v>0.47</v>
      </c>
      <c r="D304" s="44">
        <f t="shared" si="11"/>
        <v>6</v>
      </c>
    </row>
    <row r="305" spans="2:7" x14ac:dyDescent="0.5">
      <c r="B305" s="44" t="s">
        <v>386</v>
      </c>
      <c r="C305" s="129">
        <v>0.78</v>
      </c>
      <c r="D305" s="44">
        <f t="shared" si="11"/>
        <v>1</v>
      </c>
    </row>
    <row r="309" spans="2:7" x14ac:dyDescent="0.5">
      <c r="B309" s="144" t="s">
        <v>387</v>
      </c>
      <c r="C309" s="145"/>
      <c r="D309" s="146"/>
    </row>
    <row r="310" spans="2:7" x14ac:dyDescent="0.5">
      <c r="B310" s="44" t="s">
        <v>388</v>
      </c>
      <c r="C310" s="44" t="s">
        <v>389</v>
      </c>
      <c r="D310" s="44" t="s">
        <v>390</v>
      </c>
      <c r="F310" s="43" t="s">
        <v>391</v>
      </c>
      <c r="G310" s="43" t="s">
        <v>387</v>
      </c>
    </row>
    <row r="311" spans="2:7" x14ac:dyDescent="0.5">
      <c r="B311" s="48" t="e">
        <f t="array" aca="1" ref="B311:B324" ca="1">[1]!MyFILTER($F$311:$F$350,$G$311:$G$350=B310)</f>
        <v>#NAME?</v>
      </c>
      <c r="C311" s="48" t="e">
        <f t="array" aca="1" ref="C311:C322" ca="1">[1]!MyFILTER($F$311:$F$350,$G$311:$G$350=C310)</f>
        <v>#NAME?</v>
      </c>
      <c r="D311" s="48" t="e">
        <f t="array" aca="1" ref="D311:D323" ca="1">[1]!MyFILTER($F$311:$F$350,$G$311:$G$350=D310)</f>
        <v>#NAME?</v>
      </c>
      <c r="F311" s="44" t="s">
        <v>392</v>
      </c>
      <c r="G311" s="44" t="s">
        <v>389</v>
      </c>
    </row>
    <row r="312" spans="2:7" x14ac:dyDescent="0.5">
      <c r="B312" s="48" t="e">
        <f ca="1"/>
        <v>#NAME?</v>
      </c>
      <c r="C312" s="48" t="e">
        <f ca="1"/>
        <v>#NAME?</v>
      </c>
      <c r="D312" s="48" t="e">
        <f ca="1"/>
        <v>#NAME?</v>
      </c>
      <c r="F312" s="44" t="s">
        <v>393</v>
      </c>
      <c r="G312" s="44" t="s">
        <v>388</v>
      </c>
    </row>
    <row r="313" spans="2:7" x14ac:dyDescent="0.5">
      <c r="B313" s="48" t="e">
        <f ca="1"/>
        <v>#NAME?</v>
      </c>
      <c r="C313" s="48" t="e">
        <f ca="1"/>
        <v>#NAME?</v>
      </c>
      <c r="D313" s="48" t="e">
        <f ca="1"/>
        <v>#NAME?</v>
      </c>
      <c r="F313" s="44" t="s">
        <v>394</v>
      </c>
      <c r="G313" s="44" t="s">
        <v>390</v>
      </c>
    </row>
    <row r="314" spans="2:7" x14ac:dyDescent="0.5">
      <c r="B314" s="48" t="e">
        <f ca="1"/>
        <v>#NAME?</v>
      </c>
      <c r="C314" s="48" t="e">
        <f ca="1"/>
        <v>#NAME?</v>
      </c>
      <c r="D314" s="48" t="e">
        <f ca="1"/>
        <v>#NAME?</v>
      </c>
      <c r="F314" s="44" t="s">
        <v>395</v>
      </c>
      <c r="G314" s="44" t="s">
        <v>428</v>
      </c>
    </row>
    <row r="315" spans="2:7" x14ac:dyDescent="0.5">
      <c r="B315" s="48" t="e">
        <f ca="1"/>
        <v>#NAME?</v>
      </c>
      <c r="C315" s="48" t="e">
        <f ca="1"/>
        <v>#NAME?</v>
      </c>
      <c r="D315" s="48" t="e">
        <f ca="1"/>
        <v>#NAME?</v>
      </c>
      <c r="F315" s="44" t="s">
        <v>396</v>
      </c>
      <c r="G315" s="44" t="s">
        <v>388</v>
      </c>
    </row>
    <row r="316" spans="2:7" x14ac:dyDescent="0.5">
      <c r="B316" s="48" t="e">
        <f ca="1"/>
        <v>#NAME?</v>
      </c>
      <c r="C316" s="48" t="e">
        <f ca="1"/>
        <v>#NAME?</v>
      </c>
      <c r="D316" s="48" t="e">
        <f ca="1"/>
        <v>#NAME?</v>
      </c>
      <c r="F316" s="44" t="s">
        <v>397</v>
      </c>
      <c r="G316" s="44" t="s">
        <v>388</v>
      </c>
    </row>
    <row r="317" spans="2:7" x14ac:dyDescent="0.5">
      <c r="B317" s="48" t="e">
        <f ca="1"/>
        <v>#NAME?</v>
      </c>
      <c r="C317" s="48" t="e">
        <f ca="1"/>
        <v>#NAME?</v>
      </c>
      <c r="D317" s="48" t="e">
        <f ca="1"/>
        <v>#NAME?</v>
      </c>
      <c r="F317" s="44" t="s">
        <v>398</v>
      </c>
      <c r="G317" s="44" t="s">
        <v>389</v>
      </c>
    </row>
    <row r="318" spans="2:7" x14ac:dyDescent="0.5">
      <c r="B318" s="48" t="e">
        <f ca="1"/>
        <v>#NAME?</v>
      </c>
      <c r="C318" s="48" t="e">
        <f ca="1"/>
        <v>#NAME?</v>
      </c>
      <c r="D318" s="48" t="e">
        <f ca="1"/>
        <v>#NAME?</v>
      </c>
      <c r="F318" s="44" t="s">
        <v>399</v>
      </c>
      <c r="G318" s="44" t="s">
        <v>428</v>
      </c>
    </row>
    <row r="319" spans="2:7" x14ac:dyDescent="0.5">
      <c r="B319" s="48" t="e">
        <f ca="1"/>
        <v>#NAME?</v>
      </c>
      <c r="C319" s="48" t="e">
        <f ca="1"/>
        <v>#NAME?</v>
      </c>
      <c r="D319" s="48" t="e">
        <f ca="1"/>
        <v>#NAME?</v>
      </c>
      <c r="F319" s="44" t="s">
        <v>400</v>
      </c>
      <c r="G319" s="44" t="s">
        <v>390</v>
      </c>
    </row>
    <row r="320" spans="2:7" x14ac:dyDescent="0.5">
      <c r="B320" s="48" t="e">
        <f ca="1"/>
        <v>#NAME?</v>
      </c>
      <c r="C320" s="48" t="e">
        <f ca="1"/>
        <v>#NAME?</v>
      </c>
      <c r="D320" s="48" t="e">
        <f ca="1"/>
        <v>#NAME?</v>
      </c>
      <c r="F320" s="44" t="s">
        <v>401</v>
      </c>
      <c r="G320" s="44" t="s">
        <v>428</v>
      </c>
    </row>
    <row r="321" spans="2:7" x14ac:dyDescent="0.5">
      <c r="B321" s="48" t="e">
        <f ca="1"/>
        <v>#NAME?</v>
      </c>
      <c r="C321" s="48" t="e">
        <f ca="1"/>
        <v>#NAME?</v>
      </c>
      <c r="D321" s="48" t="e">
        <f ca="1"/>
        <v>#NAME?</v>
      </c>
      <c r="F321" s="44" t="s">
        <v>402</v>
      </c>
      <c r="G321" s="44" t="s">
        <v>388</v>
      </c>
    </row>
    <row r="322" spans="2:7" x14ac:dyDescent="0.5">
      <c r="B322" s="48" t="e">
        <f ca="1"/>
        <v>#NAME?</v>
      </c>
      <c r="C322" s="48" t="e">
        <f ca="1"/>
        <v>#NAME?</v>
      </c>
      <c r="D322" s="48" t="e">
        <f ca="1"/>
        <v>#NAME?</v>
      </c>
      <c r="F322" s="44" t="s">
        <v>403</v>
      </c>
      <c r="G322" s="44" t="s">
        <v>428</v>
      </c>
    </row>
    <row r="323" spans="2:7" x14ac:dyDescent="0.5">
      <c r="B323" s="48" t="e">
        <f ca="1"/>
        <v>#NAME?</v>
      </c>
      <c r="D323" s="48" t="e">
        <f ca="1"/>
        <v>#NAME?</v>
      </c>
      <c r="F323" s="44" t="s">
        <v>404</v>
      </c>
      <c r="G323" s="44" t="s">
        <v>389</v>
      </c>
    </row>
    <row r="324" spans="2:7" x14ac:dyDescent="0.5">
      <c r="B324" s="48" t="e">
        <f ca="1"/>
        <v>#NAME?</v>
      </c>
      <c r="F324" s="44" t="s">
        <v>405</v>
      </c>
      <c r="G324" s="44" t="s">
        <v>389</v>
      </c>
    </row>
    <row r="325" spans="2:7" x14ac:dyDescent="0.5">
      <c r="F325" s="44" t="s">
        <v>406</v>
      </c>
      <c r="G325" s="44" t="s">
        <v>388</v>
      </c>
    </row>
    <row r="326" spans="2:7" x14ac:dyDescent="0.5">
      <c r="F326" s="44" t="s">
        <v>407</v>
      </c>
      <c r="G326" s="44" t="s">
        <v>390</v>
      </c>
    </row>
    <row r="327" spans="2:7" x14ac:dyDescent="0.5">
      <c r="F327" s="44" t="s">
        <v>408</v>
      </c>
      <c r="G327" s="44" t="s">
        <v>428</v>
      </c>
    </row>
    <row r="328" spans="2:7" x14ac:dyDescent="0.5">
      <c r="F328" s="44" t="s">
        <v>409</v>
      </c>
      <c r="G328" s="44" t="s">
        <v>388</v>
      </c>
    </row>
    <row r="329" spans="2:7" x14ac:dyDescent="0.5">
      <c r="F329" s="44" t="s">
        <v>410</v>
      </c>
      <c r="G329" s="44" t="s">
        <v>388</v>
      </c>
    </row>
    <row r="330" spans="2:7" x14ac:dyDescent="0.5">
      <c r="F330" s="44" t="s">
        <v>411</v>
      </c>
      <c r="G330" s="44" t="s">
        <v>389</v>
      </c>
    </row>
    <row r="331" spans="2:7" x14ac:dyDescent="0.5">
      <c r="F331" s="44" t="s">
        <v>412</v>
      </c>
      <c r="G331" s="44" t="s">
        <v>428</v>
      </c>
    </row>
    <row r="332" spans="2:7" x14ac:dyDescent="0.5">
      <c r="F332" s="44" t="s">
        <v>413</v>
      </c>
      <c r="G332" s="44" t="s">
        <v>390</v>
      </c>
    </row>
    <row r="333" spans="2:7" x14ac:dyDescent="0.5">
      <c r="F333" s="44" t="s">
        <v>414</v>
      </c>
      <c r="G333" s="44" t="s">
        <v>428</v>
      </c>
    </row>
    <row r="334" spans="2:7" x14ac:dyDescent="0.5">
      <c r="F334" s="44" t="s">
        <v>415</v>
      </c>
      <c r="G334" s="44" t="s">
        <v>388</v>
      </c>
    </row>
    <row r="335" spans="2:7" x14ac:dyDescent="0.5">
      <c r="F335" s="44" t="s">
        <v>416</v>
      </c>
      <c r="G335" s="44" t="s">
        <v>428</v>
      </c>
    </row>
    <row r="336" spans="2:7" x14ac:dyDescent="0.5">
      <c r="F336" s="44" t="s">
        <v>417</v>
      </c>
      <c r="G336" s="44" t="s">
        <v>389</v>
      </c>
    </row>
    <row r="337" spans="6:7" x14ac:dyDescent="0.5">
      <c r="F337" s="44" t="s">
        <v>418</v>
      </c>
      <c r="G337" s="44" t="s">
        <v>389</v>
      </c>
    </row>
    <row r="338" spans="6:7" x14ac:dyDescent="0.5">
      <c r="F338" s="44" t="s">
        <v>419</v>
      </c>
      <c r="G338" s="44" t="s">
        <v>388</v>
      </c>
    </row>
    <row r="339" spans="6:7" x14ac:dyDescent="0.5">
      <c r="F339" s="44" t="s">
        <v>420</v>
      </c>
      <c r="G339" s="44" t="s">
        <v>390</v>
      </c>
    </row>
    <row r="340" spans="6:7" x14ac:dyDescent="0.5">
      <c r="F340" s="44" t="s">
        <v>421</v>
      </c>
      <c r="G340" s="44" t="s">
        <v>428</v>
      </c>
    </row>
    <row r="341" spans="6:7" x14ac:dyDescent="0.5">
      <c r="F341" s="44" t="s">
        <v>422</v>
      </c>
      <c r="G341" s="44" t="s">
        <v>388</v>
      </c>
    </row>
    <row r="342" spans="6:7" x14ac:dyDescent="0.5">
      <c r="F342" s="44" t="s">
        <v>423</v>
      </c>
      <c r="G342" s="44" t="s">
        <v>388</v>
      </c>
    </row>
    <row r="343" spans="6:7" x14ac:dyDescent="0.5">
      <c r="F343" s="44" t="s">
        <v>424</v>
      </c>
      <c r="G343" s="44" t="s">
        <v>389</v>
      </c>
    </row>
    <row r="344" spans="6:7" x14ac:dyDescent="0.5">
      <c r="F344" s="44" t="s">
        <v>413</v>
      </c>
      <c r="G344" s="44" t="s">
        <v>428</v>
      </c>
    </row>
    <row r="345" spans="6:7" x14ac:dyDescent="0.5">
      <c r="F345" s="44" t="s">
        <v>401</v>
      </c>
      <c r="G345" s="44" t="s">
        <v>390</v>
      </c>
    </row>
    <row r="346" spans="6:7" x14ac:dyDescent="0.5">
      <c r="F346" s="44" t="s">
        <v>425</v>
      </c>
      <c r="G346" s="44" t="s">
        <v>428</v>
      </c>
    </row>
    <row r="347" spans="6:7" x14ac:dyDescent="0.5">
      <c r="F347" s="44" t="s">
        <v>403</v>
      </c>
      <c r="G347" s="44" t="s">
        <v>388</v>
      </c>
    </row>
    <row r="348" spans="6:7" x14ac:dyDescent="0.5">
      <c r="F348" s="44" t="s">
        <v>426</v>
      </c>
      <c r="G348" s="44" t="s">
        <v>428</v>
      </c>
    </row>
    <row r="349" spans="6:7" x14ac:dyDescent="0.5">
      <c r="F349" s="44" t="s">
        <v>427</v>
      </c>
      <c r="G349" s="44" t="s">
        <v>389</v>
      </c>
    </row>
    <row r="350" spans="6:7" x14ac:dyDescent="0.5">
      <c r="F350" s="44" t="s">
        <v>413</v>
      </c>
      <c r="G350" s="44" t="s">
        <v>389</v>
      </c>
    </row>
  </sheetData>
  <mergeCells count="20">
    <mergeCell ref="B309:D309"/>
    <mergeCell ref="B265:C265"/>
    <mergeCell ref="B75:C75"/>
    <mergeCell ref="B78:C78"/>
    <mergeCell ref="B238:D238"/>
    <mergeCell ref="B236:C237"/>
    <mergeCell ref="B81:C81"/>
    <mergeCell ref="B66:C66"/>
    <mergeCell ref="B69:C69"/>
    <mergeCell ref="B72:C72"/>
    <mergeCell ref="B63:C63"/>
    <mergeCell ref="B12:C12"/>
    <mergeCell ref="B14:E14"/>
    <mergeCell ref="B18:C18"/>
    <mergeCell ref="B21:C21"/>
    <mergeCell ref="B24:C24"/>
    <mergeCell ref="B28:D28"/>
    <mergeCell ref="B32:D32"/>
    <mergeCell ref="B52:E52"/>
    <mergeCell ref="B60:C60"/>
  </mergeCells>
  <phoneticPr fontId="29" type="noConversion"/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</sheetPr>
  <dimension ref="A8:M36"/>
  <sheetViews>
    <sheetView topLeftCell="A9" workbookViewId="0">
      <selection activeCell="B8" sqref="B8:M28"/>
    </sheetView>
  </sheetViews>
  <sheetFormatPr defaultRowHeight="14.5" x14ac:dyDescent="0.35"/>
  <cols>
    <col min="1" max="1" width="6.1796875" bestFit="1" customWidth="1"/>
    <col min="2" max="2" width="15.81640625" bestFit="1" customWidth="1"/>
    <col min="3" max="3" width="7.7265625" bestFit="1" customWidth="1"/>
    <col min="4" max="4" width="5.81640625" bestFit="1" customWidth="1"/>
    <col min="5" max="5" width="7.453125" bestFit="1" customWidth="1"/>
    <col min="6" max="6" width="8" bestFit="1" customWidth="1"/>
    <col min="7" max="7" width="14.1796875" bestFit="1" customWidth="1"/>
    <col min="8" max="8" width="11.54296875" bestFit="1" customWidth="1"/>
    <col min="9" max="9" width="11.453125" bestFit="1" customWidth="1"/>
    <col min="10" max="10" width="6.54296875" bestFit="1" customWidth="1"/>
    <col min="11" max="11" width="8.54296875" bestFit="1" customWidth="1"/>
    <col min="12" max="12" width="15.54296875" bestFit="1" customWidth="1"/>
    <col min="13" max="13" width="21.1796875" bestFit="1" customWidth="1"/>
  </cols>
  <sheetData>
    <row r="8" spans="1:13" ht="15.5" x14ac:dyDescent="0.35">
      <c r="A8" s="5" t="s">
        <v>110</v>
      </c>
      <c r="B8" s="6" t="s">
        <v>86</v>
      </c>
      <c r="C8" s="7" t="s">
        <v>43</v>
      </c>
      <c r="D8" s="7" t="s">
        <v>128</v>
      </c>
      <c r="E8" s="7" t="s">
        <v>129</v>
      </c>
      <c r="F8" s="7" t="s">
        <v>130</v>
      </c>
      <c r="G8" s="7" t="s">
        <v>131</v>
      </c>
      <c r="H8" s="8" t="s">
        <v>132</v>
      </c>
      <c r="I8" s="9" t="s">
        <v>133</v>
      </c>
      <c r="J8" s="10" t="s">
        <v>69</v>
      </c>
      <c r="K8" s="11" t="s">
        <v>134</v>
      </c>
      <c r="L8" s="12" t="s">
        <v>135</v>
      </c>
      <c r="M8" s="13" t="s">
        <v>136</v>
      </c>
    </row>
    <row r="9" spans="1:13" ht="15.5" x14ac:dyDescent="0.35">
      <c r="A9" s="14">
        <v>1</v>
      </c>
      <c r="B9" s="15" t="s">
        <v>111</v>
      </c>
      <c r="C9" s="14">
        <v>39</v>
      </c>
      <c r="D9" s="14">
        <v>71</v>
      </c>
      <c r="E9" s="14">
        <v>55</v>
      </c>
      <c r="F9" s="14">
        <v>44</v>
      </c>
      <c r="G9" s="14">
        <v>57</v>
      </c>
      <c r="H9" s="14">
        <f>SUM(C9:G9)</f>
        <v>266</v>
      </c>
      <c r="I9" s="14">
        <f>H9/5</f>
        <v>53.2</v>
      </c>
      <c r="J9" s="14" t="str">
        <f>IF(H9&gt;260,"A",IF(H9&gt;230,"B","C"))</f>
        <v>A</v>
      </c>
      <c r="K9" s="14">
        <f>AVERAGE(C9:G9)</f>
        <v>53.2</v>
      </c>
      <c r="L9" s="14">
        <f>COUNTIF(C9:G9,"&gt;=33")</f>
        <v>5</v>
      </c>
      <c r="M9" s="14" t="str">
        <f>IF(L9=5,"Pass",IF(L9&gt;=3,"Compartment","Fail"))</f>
        <v>Pass</v>
      </c>
    </row>
    <row r="10" spans="1:13" ht="15.5" x14ac:dyDescent="0.35">
      <c r="A10" s="14">
        <v>2</v>
      </c>
      <c r="B10" s="15" t="s">
        <v>112</v>
      </c>
      <c r="C10" s="14">
        <v>39</v>
      </c>
      <c r="D10" s="14">
        <v>70</v>
      </c>
      <c r="E10" s="14">
        <v>43</v>
      </c>
      <c r="F10" s="14">
        <v>63</v>
      </c>
      <c r="G10" s="14">
        <v>37</v>
      </c>
      <c r="H10" s="14">
        <f t="shared" ref="H10:H28" si="0">SUM(C10:G10)</f>
        <v>252</v>
      </c>
      <c r="I10" s="14">
        <f t="shared" ref="I10:I28" si="1">H10/5</f>
        <v>50.4</v>
      </c>
      <c r="J10" s="14" t="str">
        <f t="shared" ref="J10:J28" si="2">IF(H10&gt;260,"A",IF(H10&gt;230,"B","C"))</f>
        <v>B</v>
      </c>
      <c r="K10" s="14">
        <f t="shared" ref="K10:K28" si="3">AVERAGE(C10:G10)</f>
        <v>50.4</v>
      </c>
      <c r="L10" s="14">
        <f t="shared" ref="L10:L27" si="4">COUNTIF(C10:G10,"&gt;=33")</f>
        <v>5</v>
      </c>
      <c r="M10" s="14" t="str">
        <f t="shared" ref="M10:M28" si="5">IF(L10=5,"Pass",IF(L10&gt;=3,"Compartment","Fail"))</f>
        <v>Pass</v>
      </c>
    </row>
    <row r="11" spans="1:13" ht="15.5" x14ac:dyDescent="0.35">
      <c r="A11" s="14">
        <v>3</v>
      </c>
      <c r="B11" s="15" t="s">
        <v>113</v>
      </c>
      <c r="C11" s="14">
        <v>64</v>
      </c>
      <c r="D11" s="14">
        <v>42</v>
      </c>
      <c r="E11" s="14">
        <v>70</v>
      </c>
      <c r="F11" s="14">
        <v>63</v>
      </c>
      <c r="G11" s="14">
        <v>66</v>
      </c>
      <c r="H11" s="14">
        <f t="shared" si="0"/>
        <v>305</v>
      </c>
      <c r="I11" s="14">
        <f t="shared" si="1"/>
        <v>61</v>
      </c>
      <c r="J11" s="14" t="str">
        <f t="shared" si="2"/>
        <v>A</v>
      </c>
      <c r="K11" s="14">
        <f t="shared" si="3"/>
        <v>61</v>
      </c>
      <c r="L11" s="14">
        <f t="shared" si="4"/>
        <v>5</v>
      </c>
      <c r="M11" s="14" t="str">
        <f t="shared" si="5"/>
        <v>Pass</v>
      </c>
    </row>
    <row r="12" spans="1:13" ht="15.5" x14ac:dyDescent="0.35">
      <c r="A12" s="14">
        <v>4</v>
      </c>
      <c r="B12" s="15" t="s">
        <v>114</v>
      </c>
      <c r="C12" s="14">
        <v>39</v>
      </c>
      <c r="D12" s="14">
        <v>27</v>
      </c>
      <c r="E12" s="14">
        <v>52</v>
      </c>
      <c r="F12" s="14">
        <v>64</v>
      </c>
      <c r="G12" s="14">
        <v>51</v>
      </c>
      <c r="H12" s="14">
        <f t="shared" si="0"/>
        <v>233</v>
      </c>
      <c r="I12" s="14">
        <f t="shared" si="1"/>
        <v>46.6</v>
      </c>
      <c r="J12" s="14" t="str">
        <f t="shared" si="2"/>
        <v>B</v>
      </c>
      <c r="K12" s="14">
        <f t="shared" si="3"/>
        <v>46.6</v>
      </c>
      <c r="L12" s="14">
        <f t="shared" si="4"/>
        <v>4</v>
      </c>
      <c r="M12" s="14" t="str">
        <f t="shared" si="5"/>
        <v>Compartment</v>
      </c>
    </row>
    <row r="13" spans="1:13" ht="15.5" x14ac:dyDescent="0.35">
      <c r="A13" s="14">
        <v>5</v>
      </c>
      <c r="B13" s="15" t="s">
        <v>52</v>
      </c>
      <c r="C13" s="14">
        <v>42</v>
      </c>
      <c r="D13" s="14">
        <v>49</v>
      </c>
      <c r="E13" s="14">
        <v>41</v>
      </c>
      <c r="F13" s="14">
        <v>63</v>
      </c>
      <c r="G13" s="14">
        <v>70</v>
      </c>
      <c r="H13" s="14">
        <f t="shared" si="0"/>
        <v>265</v>
      </c>
      <c r="I13" s="14">
        <f t="shared" si="1"/>
        <v>53</v>
      </c>
      <c r="J13" s="14" t="str">
        <f t="shared" si="2"/>
        <v>A</v>
      </c>
      <c r="K13" s="14">
        <f t="shared" si="3"/>
        <v>53</v>
      </c>
      <c r="L13" s="14">
        <f t="shared" si="4"/>
        <v>5</v>
      </c>
      <c r="M13" s="14" t="str">
        <f t="shared" si="5"/>
        <v>Pass</v>
      </c>
    </row>
    <row r="14" spans="1:13" ht="15.5" x14ac:dyDescent="0.35">
      <c r="A14" s="14">
        <v>6</v>
      </c>
      <c r="B14" s="15" t="s">
        <v>115</v>
      </c>
      <c r="C14" s="14">
        <v>38</v>
      </c>
      <c r="D14" s="14">
        <v>59</v>
      </c>
      <c r="E14" s="14">
        <v>38</v>
      </c>
      <c r="F14" s="14">
        <v>33</v>
      </c>
      <c r="G14" s="14">
        <v>49</v>
      </c>
      <c r="H14" s="14">
        <f t="shared" si="0"/>
        <v>217</v>
      </c>
      <c r="I14" s="14">
        <f t="shared" si="1"/>
        <v>43.4</v>
      </c>
      <c r="J14" s="14" t="str">
        <f t="shared" si="2"/>
        <v>C</v>
      </c>
      <c r="K14" s="14">
        <f t="shared" si="3"/>
        <v>43.4</v>
      </c>
      <c r="L14" s="14">
        <f t="shared" si="4"/>
        <v>5</v>
      </c>
      <c r="M14" s="14" t="str">
        <f t="shared" si="5"/>
        <v>Pass</v>
      </c>
    </row>
    <row r="15" spans="1:13" ht="15.5" x14ac:dyDescent="0.35">
      <c r="A15" s="14">
        <v>7</v>
      </c>
      <c r="B15" s="15" t="s">
        <v>116</v>
      </c>
      <c r="C15" s="14">
        <v>69</v>
      </c>
      <c r="D15" s="14">
        <v>41</v>
      </c>
      <c r="E15" s="14">
        <v>47</v>
      </c>
      <c r="F15" s="14">
        <v>60</v>
      </c>
      <c r="G15" s="14">
        <v>59</v>
      </c>
      <c r="H15" s="14">
        <f t="shared" si="0"/>
        <v>276</v>
      </c>
      <c r="I15" s="14">
        <f t="shared" si="1"/>
        <v>55.2</v>
      </c>
      <c r="J15" s="14" t="str">
        <f t="shared" si="2"/>
        <v>A</v>
      </c>
      <c r="K15" s="14">
        <f t="shared" si="3"/>
        <v>55.2</v>
      </c>
      <c r="L15" s="14">
        <f t="shared" si="4"/>
        <v>5</v>
      </c>
      <c r="M15" s="14" t="str">
        <f t="shared" si="5"/>
        <v>Pass</v>
      </c>
    </row>
    <row r="16" spans="1:13" ht="15.5" x14ac:dyDescent="0.35">
      <c r="A16" s="14">
        <v>8</v>
      </c>
      <c r="B16" s="15" t="s">
        <v>117</v>
      </c>
      <c r="C16" s="14">
        <v>58</v>
      </c>
      <c r="D16" s="14">
        <v>60</v>
      </c>
      <c r="E16" s="14">
        <v>66</v>
      </c>
      <c r="F16" s="14">
        <v>40</v>
      </c>
      <c r="G16" s="14">
        <v>54</v>
      </c>
      <c r="H16" s="14">
        <f t="shared" si="0"/>
        <v>278</v>
      </c>
      <c r="I16" s="14">
        <f t="shared" si="1"/>
        <v>55.6</v>
      </c>
      <c r="J16" s="14" t="str">
        <f t="shared" si="2"/>
        <v>A</v>
      </c>
      <c r="K16" s="14">
        <f t="shared" si="3"/>
        <v>55.6</v>
      </c>
      <c r="L16" s="14">
        <f t="shared" si="4"/>
        <v>5</v>
      </c>
      <c r="M16" s="14" t="str">
        <f t="shared" si="5"/>
        <v>Pass</v>
      </c>
    </row>
    <row r="17" spans="1:13" ht="15.5" x14ac:dyDescent="0.35">
      <c r="A17" s="14">
        <v>9</v>
      </c>
      <c r="B17" s="15" t="s">
        <v>118</v>
      </c>
      <c r="C17" s="14">
        <v>48</v>
      </c>
      <c r="D17" s="14">
        <v>53</v>
      </c>
      <c r="E17" s="14">
        <v>46</v>
      </c>
      <c r="F17" s="14">
        <v>39</v>
      </c>
      <c r="G17" s="14">
        <v>72</v>
      </c>
      <c r="H17" s="14">
        <f t="shared" si="0"/>
        <v>258</v>
      </c>
      <c r="I17" s="14">
        <f t="shared" si="1"/>
        <v>51.6</v>
      </c>
      <c r="J17" s="14" t="str">
        <f t="shared" si="2"/>
        <v>B</v>
      </c>
      <c r="K17" s="14">
        <f t="shared" si="3"/>
        <v>51.6</v>
      </c>
      <c r="L17" s="14">
        <f t="shared" si="4"/>
        <v>5</v>
      </c>
      <c r="M17" s="14" t="str">
        <f t="shared" si="5"/>
        <v>Pass</v>
      </c>
    </row>
    <row r="18" spans="1:13" ht="15.5" x14ac:dyDescent="0.35">
      <c r="A18" s="14">
        <v>10</v>
      </c>
      <c r="B18" s="15" t="s">
        <v>21</v>
      </c>
      <c r="C18" s="14">
        <v>66</v>
      </c>
      <c r="D18" s="14">
        <v>42</v>
      </c>
      <c r="E18" s="14">
        <v>33</v>
      </c>
      <c r="F18" s="14">
        <v>28</v>
      </c>
      <c r="G18" s="14">
        <v>64</v>
      </c>
      <c r="H18" s="14">
        <f t="shared" si="0"/>
        <v>233</v>
      </c>
      <c r="I18" s="14">
        <f t="shared" si="1"/>
        <v>46.6</v>
      </c>
      <c r="J18" s="14" t="str">
        <f t="shared" si="2"/>
        <v>B</v>
      </c>
      <c r="K18" s="14">
        <f t="shared" si="3"/>
        <v>46.6</v>
      </c>
      <c r="L18" s="14">
        <f t="shared" si="4"/>
        <v>4</v>
      </c>
      <c r="M18" s="14" t="str">
        <f t="shared" si="5"/>
        <v>Compartment</v>
      </c>
    </row>
    <row r="19" spans="1:13" ht="15.5" x14ac:dyDescent="0.35">
      <c r="A19" s="14">
        <v>11</v>
      </c>
      <c r="B19" s="15" t="s">
        <v>22</v>
      </c>
      <c r="C19" s="14">
        <v>42</v>
      </c>
      <c r="D19" s="14">
        <v>50</v>
      </c>
      <c r="E19" s="14">
        <v>49</v>
      </c>
      <c r="F19" s="14">
        <v>69</v>
      </c>
      <c r="G19" s="14">
        <v>25</v>
      </c>
      <c r="H19" s="14">
        <f t="shared" si="0"/>
        <v>235</v>
      </c>
      <c r="I19" s="14">
        <f t="shared" si="1"/>
        <v>47</v>
      </c>
      <c r="J19" s="14" t="str">
        <f t="shared" si="2"/>
        <v>B</v>
      </c>
      <c r="K19" s="14">
        <f t="shared" si="3"/>
        <v>47</v>
      </c>
      <c r="L19" s="14">
        <f t="shared" si="4"/>
        <v>4</v>
      </c>
      <c r="M19" s="14" t="str">
        <f t="shared" si="5"/>
        <v>Compartment</v>
      </c>
    </row>
    <row r="20" spans="1:13" ht="15.5" x14ac:dyDescent="0.35">
      <c r="A20" s="14">
        <v>12</v>
      </c>
      <c r="B20" s="15" t="s">
        <v>119</v>
      </c>
      <c r="C20" s="14">
        <v>71</v>
      </c>
      <c r="D20" s="14">
        <v>12</v>
      </c>
      <c r="E20" s="14">
        <v>25</v>
      </c>
      <c r="F20" s="14">
        <v>39</v>
      </c>
      <c r="G20" s="14">
        <v>32</v>
      </c>
      <c r="H20" s="14">
        <f t="shared" si="0"/>
        <v>179</v>
      </c>
      <c r="I20" s="14">
        <f t="shared" si="1"/>
        <v>35.799999999999997</v>
      </c>
      <c r="J20" s="14" t="str">
        <f t="shared" si="2"/>
        <v>C</v>
      </c>
      <c r="K20" s="14">
        <f t="shared" si="3"/>
        <v>35.799999999999997</v>
      </c>
      <c r="L20" s="14">
        <f t="shared" si="4"/>
        <v>2</v>
      </c>
      <c r="M20" s="14" t="str">
        <f t="shared" si="5"/>
        <v>Fail</v>
      </c>
    </row>
    <row r="21" spans="1:13" ht="15.5" x14ac:dyDescent="0.35">
      <c r="A21" s="14">
        <v>13</v>
      </c>
      <c r="B21" s="15" t="s">
        <v>120</v>
      </c>
      <c r="C21" s="14">
        <v>30</v>
      </c>
      <c r="D21" s="14">
        <v>46</v>
      </c>
      <c r="E21" s="14">
        <v>58</v>
      </c>
      <c r="F21" s="14">
        <v>74</v>
      </c>
      <c r="G21" s="14">
        <v>62</v>
      </c>
      <c r="H21" s="14">
        <f t="shared" si="0"/>
        <v>270</v>
      </c>
      <c r="I21" s="14">
        <f t="shared" si="1"/>
        <v>54</v>
      </c>
      <c r="J21" s="14" t="str">
        <f t="shared" si="2"/>
        <v>A</v>
      </c>
      <c r="K21" s="14">
        <f t="shared" si="3"/>
        <v>54</v>
      </c>
      <c r="L21" s="14">
        <f t="shared" si="4"/>
        <v>4</v>
      </c>
      <c r="M21" s="14" t="str">
        <f t="shared" si="5"/>
        <v>Compartment</v>
      </c>
    </row>
    <row r="22" spans="1:13" ht="15.5" x14ac:dyDescent="0.35">
      <c r="A22" s="14">
        <v>14</v>
      </c>
      <c r="B22" s="15" t="s">
        <v>121</v>
      </c>
      <c r="C22" s="14">
        <v>58</v>
      </c>
      <c r="D22" s="14">
        <v>25</v>
      </c>
      <c r="E22" s="14">
        <v>37</v>
      </c>
      <c r="F22" s="14">
        <v>39</v>
      </c>
      <c r="G22" s="14">
        <v>47</v>
      </c>
      <c r="H22" s="14">
        <f t="shared" si="0"/>
        <v>206</v>
      </c>
      <c r="I22" s="14">
        <f t="shared" si="1"/>
        <v>41.2</v>
      </c>
      <c r="J22" s="14" t="str">
        <f t="shared" si="2"/>
        <v>C</v>
      </c>
      <c r="K22" s="14">
        <f t="shared" si="3"/>
        <v>41.2</v>
      </c>
      <c r="L22" s="14">
        <f t="shared" si="4"/>
        <v>4</v>
      </c>
      <c r="M22" s="14" t="str">
        <f t="shared" si="5"/>
        <v>Compartment</v>
      </c>
    </row>
    <row r="23" spans="1:13" ht="15.5" x14ac:dyDescent="0.35">
      <c r="A23" s="14">
        <v>15</v>
      </c>
      <c r="B23" s="15" t="s">
        <v>122</v>
      </c>
      <c r="C23" s="14">
        <v>46</v>
      </c>
      <c r="D23" s="14">
        <v>41</v>
      </c>
      <c r="E23" s="14">
        <v>35</v>
      </c>
      <c r="F23" s="14">
        <v>37</v>
      </c>
      <c r="G23" s="14">
        <v>48</v>
      </c>
      <c r="H23" s="14">
        <f t="shared" si="0"/>
        <v>207</v>
      </c>
      <c r="I23" s="14">
        <f t="shared" si="1"/>
        <v>41.4</v>
      </c>
      <c r="J23" s="14" t="str">
        <f t="shared" si="2"/>
        <v>C</v>
      </c>
      <c r="K23" s="14">
        <f t="shared" si="3"/>
        <v>41.4</v>
      </c>
      <c r="L23" s="14">
        <f t="shared" si="4"/>
        <v>5</v>
      </c>
      <c r="M23" s="14" t="str">
        <f t="shared" si="5"/>
        <v>Pass</v>
      </c>
    </row>
    <row r="24" spans="1:13" ht="15.5" x14ac:dyDescent="0.35">
      <c r="A24" s="14">
        <v>16</v>
      </c>
      <c r="B24" s="15" t="s">
        <v>123</v>
      </c>
      <c r="C24" s="14">
        <v>51</v>
      </c>
      <c r="D24" s="14">
        <v>31</v>
      </c>
      <c r="E24" s="14">
        <v>22</v>
      </c>
      <c r="F24" s="14">
        <v>67</v>
      </c>
      <c r="G24" s="14">
        <v>74</v>
      </c>
      <c r="H24" s="14">
        <f t="shared" si="0"/>
        <v>245</v>
      </c>
      <c r="I24" s="14">
        <f t="shared" si="1"/>
        <v>49</v>
      </c>
      <c r="J24" s="14" t="str">
        <f t="shared" si="2"/>
        <v>B</v>
      </c>
      <c r="K24" s="14">
        <f t="shared" si="3"/>
        <v>49</v>
      </c>
      <c r="L24" s="14">
        <f t="shared" si="4"/>
        <v>3</v>
      </c>
      <c r="M24" s="14" t="str">
        <f t="shared" si="5"/>
        <v>Compartment</v>
      </c>
    </row>
    <row r="25" spans="1:13" ht="15.5" x14ac:dyDescent="0.35">
      <c r="A25" s="14">
        <v>17</v>
      </c>
      <c r="B25" s="15" t="s">
        <v>124</v>
      </c>
      <c r="C25" s="14">
        <v>57</v>
      </c>
      <c r="D25" s="14">
        <v>44</v>
      </c>
      <c r="E25" s="14">
        <v>36</v>
      </c>
      <c r="F25" s="14">
        <v>27</v>
      </c>
      <c r="G25" s="14">
        <v>73</v>
      </c>
      <c r="H25" s="14">
        <f t="shared" si="0"/>
        <v>237</v>
      </c>
      <c r="I25" s="14">
        <f t="shared" si="1"/>
        <v>47.4</v>
      </c>
      <c r="J25" s="14" t="str">
        <f t="shared" si="2"/>
        <v>B</v>
      </c>
      <c r="K25" s="14">
        <f t="shared" si="3"/>
        <v>47.4</v>
      </c>
      <c r="L25" s="14">
        <f t="shared" si="4"/>
        <v>4</v>
      </c>
      <c r="M25" s="14" t="str">
        <f t="shared" si="5"/>
        <v>Compartment</v>
      </c>
    </row>
    <row r="26" spans="1:13" ht="15.5" x14ac:dyDescent="0.35">
      <c r="A26" s="14">
        <v>18</v>
      </c>
      <c r="B26" s="15" t="s">
        <v>125</v>
      </c>
      <c r="C26" s="14">
        <v>68</v>
      </c>
      <c r="D26" s="14">
        <v>35</v>
      </c>
      <c r="E26" s="14">
        <v>62</v>
      </c>
      <c r="F26" s="14">
        <v>50</v>
      </c>
      <c r="G26" s="14">
        <v>52</v>
      </c>
      <c r="H26" s="14">
        <f t="shared" si="0"/>
        <v>267</v>
      </c>
      <c r="I26" s="14">
        <f t="shared" si="1"/>
        <v>53.4</v>
      </c>
      <c r="J26" s="14" t="str">
        <f t="shared" si="2"/>
        <v>A</v>
      </c>
      <c r="K26" s="14">
        <f t="shared" si="3"/>
        <v>53.4</v>
      </c>
      <c r="L26" s="14">
        <f t="shared" si="4"/>
        <v>5</v>
      </c>
      <c r="M26" s="14" t="str">
        <f t="shared" si="5"/>
        <v>Pass</v>
      </c>
    </row>
    <row r="27" spans="1:13" ht="15.5" x14ac:dyDescent="0.35">
      <c r="A27" s="14">
        <v>19</v>
      </c>
      <c r="B27" s="15" t="s">
        <v>126</v>
      </c>
      <c r="C27" s="14">
        <v>43</v>
      </c>
      <c r="D27" s="14">
        <v>46</v>
      </c>
      <c r="E27" s="14">
        <v>39</v>
      </c>
      <c r="F27" s="14">
        <v>64</v>
      </c>
      <c r="G27" s="14">
        <v>59</v>
      </c>
      <c r="H27" s="14">
        <f t="shared" si="0"/>
        <v>251</v>
      </c>
      <c r="I27" s="14">
        <f t="shared" si="1"/>
        <v>50.2</v>
      </c>
      <c r="J27" s="14" t="str">
        <f t="shared" si="2"/>
        <v>B</v>
      </c>
      <c r="K27" s="14">
        <f t="shared" si="3"/>
        <v>50.2</v>
      </c>
      <c r="L27" s="14">
        <f t="shared" si="4"/>
        <v>5</v>
      </c>
      <c r="M27" s="14" t="str">
        <f t="shared" si="5"/>
        <v>Pass</v>
      </c>
    </row>
    <row r="28" spans="1:13" ht="15.5" x14ac:dyDescent="0.35">
      <c r="A28" s="14">
        <v>20</v>
      </c>
      <c r="B28" s="15" t="s">
        <v>127</v>
      </c>
      <c r="C28" s="14">
        <v>28</v>
      </c>
      <c r="D28" s="14">
        <v>64</v>
      </c>
      <c r="E28" s="14">
        <v>34</v>
      </c>
      <c r="F28" s="14">
        <v>48</v>
      </c>
      <c r="G28" s="14">
        <v>54</v>
      </c>
      <c r="H28" s="14">
        <f t="shared" si="0"/>
        <v>228</v>
      </c>
      <c r="I28" s="14">
        <f t="shared" si="1"/>
        <v>45.6</v>
      </c>
      <c r="J28" s="14" t="str">
        <f t="shared" si="2"/>
        <v>C</v>
      </c>
      <c r="K28" s="14">
        <f t="shared" si="3"/>
        <v>45.6</v>
      </c>
      <c r="L28" s="14">
        <f>COUNTIF(C28:G28,"&gt;=33")</f>
        <v>4</v>
      </c>
      <c r="M28" s="14" t="str">
        <f t="shared" si="5"/>
        <v>Compartment</v>
      </c>
    </row>
    <row r="32" spans="1:13" x14ac:dyDescent="0.35">
      <c r="B32" s="151" t="s">
        <v>137</v>
      </c>
      <c r="C32" s="151"/>
    </row>
    <row r="33" spans="2:3" x14ac:dyDescent="0.35">
      <c r="B33" s="28">
        <f>MAX(H9:H28)</f>
        <v>305</v>
      </c>
      <c r="C33" s="28" t="s">
        <v>113</v>
      </c>
    </row>
    <row r="34" spans="2:3" x14ac:dyDescent="0.35">
      <c r="B34" s="95"/>
      <c r="C34" s="95"/>
    </row>
    <row r="35" spans="2:3" x14ac:dyDescent="0.35">
      <c r="B35" s="152" t="s">
        <v>138</v>
      </c>
      <c r="C35" s="152"/>
    </row>
    <row r="36" spans="2:3" x14ac:dyDescent="0.35">
      <c r="B36" s="28">
        <f>MIN(H9:H28)</f>
        <v>179</v>
      </c>
      <c r="C36" s="28" t="s">
        <v>121</v>
      </c>
    </row>
  </sheetData>
  <mergeCells count="2">
    <mergeCell ref="B32:C32"/>
    <mergeCell ref="B35:C35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FF00"/>
  </sheetPr>
  <dimension ref="B8:Q29"/>
  <sheetViews>
    <sheetView workbookViewId="0">
      <selection activeCell="G6" sqref="G6"/>
    </sheetView>
  </sheetViews>
  <sheetFormatPr defaultColWidth="9.1796875" defaultRowHeight="14.5" x14ac:dyDescent="0.35"/>
  <cols>
    <col min="1" max="1" width="8.453125" style="46" customWidth="1"/>
    <col min="2" max="4" width="9.1796875" style="46"/>
    <col min="5" max="5" width="12" style="46" bestFit="1" customWidth="1"/>
    <col min="6" max="6" width="14.54296875" style="46" customWidth="1"/>
    <col min="7" max="10" width="9.1796875" style="46"/>
    <col min="11" max="11" width="8.1796875" style="46" customWidth="1"/>
    <col min="12" max="12" width="8.81640625" style="46" customWidth="1"/>
    <col min="13" max="13" width="9.26953125" style="46" bestFit="1" customWidth="1"/>
    <col min="14" max="14" width="12" style="46" bestFit="1" customWidth="1"/>
    <col min="15" max="15" width="15.26953125" style="46" bestFit="1" customWidth="1"/>
    <col min="16" max="16384" width="9.1796875" style="46"/>
  </cols>
  <sheetData>
    <row r="8" spans="2:17" x14ac:dyDescent="0.35">
      <c r="B8" s="153" t="s">
        <v>139</v>
      </c>
      <c r="C8" s="153"/>
      <c r="D8" s="153"/>
      <c r="E8" s="153"/>
      <c r="F8" s="153"/>
      <c r="K8" s="153" t="s">
        <v>144</v>
      </c>
      <c r="L8" s="153"/>
      <c r="M8" s="153"/>
      <c r="N8" s="153"/>
      <c r="O8" s="153"/>
      <c r="P8" s="153"/>
      <c r="Q8" s="153"/>
    </row>
    <row r="9" spans="2:17" x14ac:dyDescent="0.35">
      <c r="B9" s="56">
        <v>25</v>
      </c>
      <c r="K9" s="56">
        <v>25</v>
      </c>
    </row>
    <row r="10" spans="2:17" x14ac:dyDescent="0.35">
      <c r="B10" s="24">
        <v>25</v>
      </c>
      <c r="D10" s="57" t="s">
        <v>140</v>
      </c>
      <c r="K10" s="24">
        <v>25</v>
      </c>
    </row>
    <row r="11" spans="2:17" x14ac:dyDescent="0.35">
      <c r="B11" s="24">
        <v>25</v>
      </c>
      <c r="D11" s="24" t="s">
        <v>141</v>
      </c>
      <c r="E11" s="24">
        <v>25</v>
      </c>
      <c r="K11" s="24">
        <v>25</v>
      </c>
    </row>
    <row r="12" spans="2:17" x14ac:dyDescent="0.35">
      <c r="B12" s="24" t="s">
        <v>143</v>
      </c>
      <c r="D12" s="24" t="s">
        <v>142</v>
      </c>
      <c r="E12" s="24">
        <v>20</v>
      </c>
      <c r="K12" s="24" t="s">
        <v>143</v>
      </c>
    </row>
    <row r="13" spans="2:17" x14ac:dyDescent="0.35">
      <c r="B13" s="24">
        <v>25</v>
      </c>
      <c r="K13" s="24">
        <v>20</v>
      </c>
    </row>
    <row r="14" spans="2:17" x14ac:dyDescent="0.35">
      <c r="B14" s="23">
        <f>AVERAGE(B9:B13)</f>
        <v>25</v>
      </c>
      <c r="K14" s="58">
        <f>AVERAGEA(K9:K13)</f>
        <v>19</v>
      </c>
    </row>
    <row r="22" spans="2:15" x14ac:dyDescent="0.35">
      <c r="B22" s="24" t="s">
        <v>145</v>
      </c>
      <c r="C22" s="24" t="s">
        <v>150</v>
      </c>
      <c r="D22" s="24" t="s">
        <v>155</v>
      </c>
      <c r="E22" s="24" t="s">
        <v>156</v>
      </c>
      <c r="F22" s="24" t="s">
        <v>157</v>
      </c>
      <c r="K22" s="24" t="s">
        <v>145</v>
      </c>
      <c r="L22" s="24" t="s">
        <v>150</v>
      </c>
      <c r="M22" s="24" t="s">
        <v>155</v>
      </c>
      <c r="N22" s="24" t="s">
        <v>156</v>
      </c>
      <c r="O22" s="24" t="s">
        <v>157</v>
      </c>
    </row>
    <row r="23" spans="2:15" x14ac:dyDescent="0.35">
      <c r="B23" s="24" t="s">
        <v>146</v>
      </c>
      <c r="C23" s="24" t="s">
        <v>151</v>
      </c>
      <c r="D23" s="24">
        <v>25</v>
      </c>
      <c r="E23" s="24">
        <v>120</v>
      </c>
      <c r="F23" s="24">
        <f>D23*E23</f>
        <v>3000</v>
      </c>
      <c r="K23" s="24" t="s">
        <v>146</v>
      </c>
      <c r="L23" s="24" t="s">
        <v>151</v>
      </c>
      <c r="M23" s="24">
        <v>25</v>
      </c>
      <c r="N23" s="24">
        <v>120</v>
      </c>
      <c r="O23" s="24">
        <f>M23*N23</f>
        <v>3000</v>
      </c>
    </row>
    <row r="24" spans="2:15" x14ac:dyDescent="0.35">
      <c r="B24" s="24" t="s">
        <v>147</v>
      </c>
      <c r="C24" s="24" t="s">
        <v>152</v>
      </c>
      <c r="D24" s="24">
        <v>35</v>
      </c>
      <c r="E24" s="24">
        <v>80</v>
      </c>
      <c r="F24" s="24">
        <f t="shared" ref="F24:F26" si="0">D24*E24</f>
        <v>2800</v>
      </c>
      <c r="K24" s="24" t="s">
        <v>147</v>
      </c>
      <c r="L24" s="24" t="s">
        <v>152</v>
      </c>
      <c r="M24" s="24">
        <v>35</v>
      </c>
      <c r="N24" s="24">
        <v>80</v>
      </c>
      <c r="O24" s="24">
        <f t="shared" ref="O24:O26" si="1">M24*N24</f>
        <v>2800</v>
      </c>
    </row>
    <row r="25" spans="2:15" x14ac:dyDescent="0.35">
      <c r="B25" s="24" t="s">
        <v>148</v>
      </c>
      <c r="C25" s="24" t="s">
        <v>153</v>
      </c>
      <c r="D25" s="24">
        <v>15</v>
      </c>
      <c r="E25" s="24">
        <v>180</v>
      </c>
      <c r="F25" s="24">
        <f t="shared" si="0"/>
        <v>2700</v>
      </c>
      <c r="K25" s="24" t="s">
        <v>148</v>
      </c>
      <c r="L25" s="24" t="s">
        <v>153</v>
      </c>
      <c r="M25" s="24">
        <v>15</v>
      </c>
      <c r="N25" s="24">
        <v>180</v>
      </c>
      <c r="O25" s="24">
        <f t="shared" si="1"/>
        <v>2700</v>
      </c>
    </row>
    <row r="26" spans="2:15" x14ac:dyDescent="0.35">
      <c r="B26" s="24" t="s">
        <v>149</v>
      </c>
      <c r="C26" s="24" t="s">
        <v>151</v>
      </c>
      <c r="D26" s="24">
        <v>26</v>
      </c>
      <c r="E26" s="24">
        <v>90</v>
      </c>
      <c r="F26" s="24">
        <f t="shared" si="0"/>
        <v>2340</v>
      </c>
      <c r="K26" s="24" t="s">
        <v>149</v>
      </c>
      <c r="L26" s="24" t="s">
        <v>151</v>
      </c>
      <c r="M26" s="24">
        <v>26</v>
      </c>
      <c r="N26" s="24">
        <v>90</v>
      </c>
      <c r="O26" s="24">
        <f t="shared" si="1"/>
        <v>2340</v>
      </c>
    </row>
    <row r="28" spans="2:15" x14ac:dyDescent="0.35">
      <c r="B28" s="60">
        <f>AVERAGEIF(C22:C26,C23,F22:F26)</f>
        <v>2670</v>
      </c>
      <c r="D28" s="24" t="s">
        <v>153</v>
      </c>
      <c r="E28" s="59">
        <f>AVERAGEIF(C22:C26,D28,F22:F26)</f>
        <v>2700</v>
      </c>
      <c r="J28" s="24" t="s">
        <v>158</v>
      </c>
      <c r="K28" s="24" t="s">
        <v>146</v>
      </c>
      <c r="L28" s="24" t="s">
        <v>151</v>
      </c>
      <c r="M28" s="24">
        <f>AVERAGEIFS(O22:O26,K22:K26,K28,L22:L26,L28)</f>
        <v>3000</v>
      </c>
    </row>
    <row r="29" spans="2:15" x14ac:dyDescent="0.35">
      <c r="J29" s="24" t="s">
        <v>159</v>
      </c>
      <c r="M29" s="24">
        <f>AVERAGEIFS(O22:O26,K22:K26,K24,L22:L26,L24)</f>
        <v>2800</v>
      </c>
    </row>
  </sheetData>
  <mergeCells count="2">
    <mergeCell ref="B8:F8"/>
    <mergeCell ref="K8:Q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00B0F0"/>
  </sheetPr>
  <dimension ref="B1:M47"/>
  <sheetViews>
    <sheetView workbookViewId="0"/>
  </sheetViews>
  <sheetFormatPr defaultRowHeight="14.5" x14ac:dyDescent="0.35"/>
  <cols>
    <col min="2" max="2" width="15.81640625" bestFit="1" customWidth="1"/>
    <col min="3" max="3" width="7.7265625" bestFit="1" customWidth="1"/>
    <col min="4" max="4" width="5.81640625" bestFit="1" customWidth="1"/>
    <col min="5" max="5" width="7.453125" bestFit="1" customWidth="1"/>
    <col min="6" max="6" width="8" bestFit="1" customWidth="1"/>
    <col min="7" max="7" width="14.1796875" bestFit="1" customWidth="1"/>
    <col min="8" max="8" width="11.54296875" bestFit="1" customWidth="1"/>
    <col min="9" max="9" width="11.453125" bestFit="1" customWidth="1"/>
    <col min="10" max="10" width="6.54296875" bestFit="1" customWidth="1"/>
    <col min="11" max="11" width="8.54296875" bestFit="1" customWidth="1"/>
    <col min="12" max="12" width="15.54296875" bestFit="1" customWidth="1"/>
    <col min="13" max="13" width="21.1796875" bestFit="1" customWidth="1"/>
  </cols>
  <sheetData>
    <row r="1" spans="2:13" x14ac:dyDescent="0.35">
      <c r="E1" s="21"/>
    </row>
    <row r="6" spans="2:13" ht="15.5" x14ac:dyDescent="0.35">
      <c r="B6" s="6" t="s">
        <v>86</v>
      </c>
      <c r="C6" s="7" t="s">
        <v>43</v>
      </c>
      <c r="D6" s="7" t="s">
        <v>128</v>
      </c>
      <c r="E6" s="7" t="s">
        <v>129</v>
      </c>
      <c r="F6" s="7" t="s">
        <v>130</v>
      </c>
      <c r="G6" s="7" t="s">
        <v>131</v>
      </c>
      <c r="H6" s="8" t="s">
        <v>132</v>
      </c>
      <c r="I6" s="9" t="s">
        <v>133</v>
      </c>
      <c r="J6" s="10" t="s">
        <v>69</v>
      </c>
      <c r="K6" s="11" t="s">
        <v>134</v>
      </c>
      <c r="L6" s="12" t="s">
        <v>135</v>
      </c>
      <c r="M6" s="13" t="s">
        <v>136</v>
      </c>
    </row>
    <row r="7" spans="2:13" ht="15.5" x14ac:dyDescent="0.35">
      <c r="B7" s="15" t="s">
        <v>111</v>
      </c>
      <c r="C7" s="14">
        <v>39</v>
      </c>
      <c r="D7" s="14">
        <v>71</v>
      </c>
      <c r="E7" s="14">
        <v>55</v>
      </c>
      <c r="F7" s="14">
        <v>44</v>
      </c>
      <c r="G7" s="14">
        <v>57</v>
      </c>
      <c r="H7" s="14">
        <f>SUM(C7:G7)</f>
        <v>266</v>
      </c>
      <c r="I7" s="14">
        <f>H7/5</f>
        <v>53.2</v>
      </c>
      <c r="J7" s="14" t="str">
        <f>IF(H7&gt;260,"A",IF(H7&gt;230,"B","C"))</f>
        <v>A</v>
      </c>
      <c r="K7" s="14">
        <f>AVERAGE(C7:G7)</f>
        <v>53.2</v>
      </c>
      <c r="L7" s="14">
        <v>5</v>
      </c>
      <c r="M7" s="14" t="str">
        <f>IF(L7=5,"Pass",IF(L7&gt;=3,"Compartment","Fail"))</f>
        <v>Pass</v>
      </c>
    </row>
    <row r="8" spans="2:13" ht="15.5" x14ac:dyDescent="0.35">
      <c r="B8" s="15" t="s">
        <v>112</v>
      </c>
      <c r="C8" s="14">
        <v>39</v>
      </c>
      <c r="D8" s="14">
        <v>70</v>
      </c>
      <c r="E8" s="14">
        <v>43</v>
      </c>
      <c r="F8" s="14">
        <v>63</v>
      </c>
      <c r="G8" s="14">
        <v>37</v>
      </c>
      <c r="H8" s="14">
        <f t="shared" ref="H8:H10" si="0">SUM(C8:G8)</f>
        <v>252</v>
      </c>
      <c r="I8" s="14">
        <f t="shared" ref="I8:I10" si="1">H8/5</f>
        <v>50.4</v>
      </c>
      <c r="J8" s="14" t="str">
        <f t="shared" ref="J8:J10" si="2">IF(H8&gt;260,"A",IF(H8&gt;230,"B","C"))</f>
        <v>B</v>
      </c>
      <c r="K8" s="14">
        <f t="shared" ref="K8:K10" si="3">AVERAGE(C8:G8)</f>
        <v>50.4</v>
      </c>
      <c r="L8" s="14">
        <v>5</v>
      </c>
      <c r="M8" s="14" t="str">
        <f t="shared" ref="M8:M10" si="4">IF(L8=5,"Pass",IF(L8&gt;=3,"Compartment","Fail"))</f>
        <v>Pass</v>
      </c>
    </row>
    <row r="9" spans="2:13" ht="15.5" x14ac:dyDescent="0.35">
      <c r="B9" s="15" t="s">
        <v>113</v>
      </c>
      <c r="C9" s="14">
        <v>64</v>
      </c>
      <c r="D9" s="14">
        <v>42</v>
      </c>
      <c r="E9" s="14">
        <v>70</v>
      </c>
      <c r="F9" s="14">
        <v>63</v>
      </c>
      <c r="G9" s="14">
        <v>66</v>
      </c>
      <c r="H9" s="14">
        <f t="shared" si="0"/>
        <v>305</v>
      </c>
      <c r="I9" s="14">
        <f t="shared" si="1"/>
        <v>61</v>
      </c>
      <c r="J9" s="14" t="str">
        <f t="shared" si="2"/>
        <v>A</v>
      </c>
      <c r="K9" s="14">
        <f t="shared" si="3"/>
        <v>61</v>
      </c>
      <c r="L9" s="14">
        <v>5</v>
      </c>
      <c r="M9" s="14" t="str">
        <f t="shared" si="4"/>
        <v>Pass</v>
      </c>
    </row>
    <row r="10" spans="2:13" ht="15.5" x14ac:dyDescent="0.35">
      <c r="B10" s="15" t="s">
        <v>114</v>
      </c>
      <c r="C10" s="14">
        <v>39</v>
      </c>
      <c r="D10" s="14">
        <v>27</v>
      </c>
      <c r="E10" s="14">
        <v>52</v>
      </c>
      <c r="F10" s="14">
        <v>64</v>
      </c>
      <c r="G10" s="14">
        <v>51</v>
      </c>
      <c r="H10" s="14">
        <f t="shared" si="0"/>
        <v>233</v>
      </c>
      <c r="I10" s="14">
        <f t="shared" si="1"/>
        <v>46.6</v>
      </c>
      <c r="J10" s="14" t="str">
        <f t="shared" si="2"/>
        <v>B</v>
      </c>
      <c r="K10" s="14">
        <f t="shared" si="3"/>
        <v>46.6</v>
      </c>
      <c r="L10" s="14">
        <v>4</v>
      </c>
      <c r="M10" s="14" t="str">
        <f t="shared" si="4"/>
        <v>Compartment</v>
      </c>
    </row>
    <row r="11" spans="2:13" ht="15.5" x14ac:dyDescent="0.35">
      <c r="B11" s="15" t="s">
        <v>52</v>
      </c>
      <c r="C11" s="14">
        <v>42</v>
      </c>
      <c r="D11" s="14">
        <v>49</v>
      </c>
      <c r="E11" s="14">
        <v>41</v>
      </c>
      <c r="F11" s="14">
        <v>63</v>
      </c>
      <c r="G11" s="14">
        <v>70</v>
      </c>
      <c r="H11" s="14">
        <f t="shared" ref="H11:H26" si="5">SUM(C11:G11)</f>
        <v>265</v>
      </c>
      <c r="I11" s="14">
        <f t="shared" ref="I11:I26" si="6">H11/5</f>
        <v>53</v>
      </c>
      <c r="J11" s="14" t="str">
        <f t="shared" ref="J11:J26" si="7">IF(H11&gt;260,"A",IF(H11&gt;230,"B","C"))</f>
        <v>A</v>
      </c>
      <c r="K11" s="14">
        <f t="shared" ref="K11:K26" si="8">AVERAGE(C11:G11)</f>
        <v>53</v>
      </c>
      <c r="L11" s="14">
        <v>5</v>
      </c>
      <c r="M11" s="14" t="str">
        <f t="shared" ref="M11:M26" si="9">IF(L11=5,"Pass",IF(L11&gt;=3,"Compartment","Fail"))</f>
        <v>Pass</v>
      </c>
    </row>
    <row r="12" spans="2:13" ht="15.5" x14ac:dyDescent="0.35">
      <c r="B12" s="15" t="s">
        <v>115</v>
      </c>
      <c r="C12" s="14">
        <v>38</v>
      </c>
      <c r="D12" s="14">
        <v>59</v>
      </c>
      <c r="E12" s="14">
        <v>38</v>
      </c>
      <c r="F12" s="14">
        <v>33</v>
      </c>
      <c r="G12" s="14">
        <v>49</v>
      </c>
      <c r="H12" s="14">
        <f t="shared" si="5"/>
        <v>217</v>
      </c>
      <c r="I12" s="14">
        <f t="shared" si="6"/>
        <v>43.4</v>
      </c>
      <c r="J12" s="14" t="str">
        <f t="shared" si="7"/>
        <v>C</v>
      </c>
      <c r="K12" s="14">
        <f t="shared" si="8"/>
        <v>43.4</v>
      </c>
      <c r="L12" s="14">
        <v>5</v>
      </c>
      <c r="M12" s="14" t="str">
        <f t="shared" si="9"/>
        <v>Pass</v>
      </c>
    </row>
    <row r="13" spans="2:13" ht="15.5" x14ac:dyDescent="0.35">
      <c r="B13" s="15" t="s">
        <v>116</v>
      </c>
      <c r="C13" s="14">
        <v>69</v>
      </c>
      <c r="D13" s="14">
        <v>41</v>
      </c>
      <c r="E13" s="14">
        <v>47</v>
      </c>
      <c r="F13" s="14">
        <v>60</v>
      </c>
      <c r="G13" s="14">
        <v>59</v>
      </c>
      <c r="H13" s="14">
        <f t="shared" si="5"/>
        <v>276</v>
      </c>
      <c r="I13" s="14">
        <f t="shared" si="6"/>
        <v>55.2</v>
      </c>
      <c r="J13" s="14" t="str">
        <f t="shared" si="7"/>
        <v>A</v>
      </c>
      <c r="K13" s="14">
        <f t="shared" si="8"/>
        <v>55.2</v>
      </c>
      <c r="L13" s="14">
        <v>5</v>
      </c>
      <c r="M13" s="14" t="str">
        <f t="shared" si="9"/>
        <v>Pass</v>
      </c>
    </row>
    <row r="14" spans="2:13" ht="15.5" x14ac:dyDescent="0.35">
      <c r="B14" s="15" t="s">
        <v>117</v>
      </c>
      <c r="C14" s="14">
        <v>58</v>
      </c>
      <c r="D14" s="14">
        <v>60</v>
      </c>
      <c r="E14" s="14">
        <v>66</v>
      </c>
      <c r="F14" s="14">
        <v>40</v>
      </c>
      <c r="G14" s="14">
        <v>54</v>
      </c>
      <c r="H14" s="14">
        <f t="shared" si="5"/>
        <v>278</v>
      </c>
      <c r="I14" s="14">
        <f t="shared" si="6"/>
        <v>55.6</v>
      </c>
      <c r="J14" s="14" t="str">
        <f t="shared" si="7"/>
        <v>A</v>
      </c>
      <c r="K14" s="14">
        <f t="shared" si="8"/>
        <v>55.6</v>
      </c>
      <c r="L14" s="14">
        <v>5</v>
      </c>
      <c r="M14" s="14" t="str">
        <f t="shared" si="9"/>
        <v>Pass</v>
      </c>
    </row>
    <row r="15" spans="2:13" ht="15.5" x14ac:dyDescent="0.35">
      <c r="B15" s="15" t="s">
        <v>118</v>
      </c>
      <c r="C15" s="14">
        <v>48</v>
      </c>
      <c r="D15" s="14">
        <v>53</v>
      </c>
      <c r="E15" s="14">
        <v>46</v>
      </c>
      <c r="F15" s="14">
        <v>39</v>
      </c>
      <c r="G15" s="14">
        <v>72</v>
      </c>
      <c r="H15" s="14">
        <f t="shared" si="5"/>
        <v>258</v>
      </c>
      <c r="I15" s="14">
        <f t="shared" si="6"/>
        <v>51.6</v>
      </c>
      <c r="J15" s="14" t="str">
        <f t="shared" si="7"/>
        <v>B</v>
      </c>
      <c r="K15" s="14">
        <f t="shared" si="8"/>
        <v>51.6</v>
      </c>
      <c r="L15" s="14">
        <v>5</v>
      </c>
      <c r="M15" s="14" t="str">
        <f t="shared" si="9"/>
        <v>Pass</v>
      </c>
    </row>
    <row r="16" spans="2:13" ht="15.5" x14ac:dyDescent="0.35">
      <c r="B16" s="15" t="s">
        <v>21</v>
      </c>
      <c r="C16" s="14">
        <v>66</v>
      </c>
      <c r="D16" s="14">
        <v>42</v>
      </c>
      <c r="E16" s="14">
        <v>33</v>
      </c>
      <c r="F16" s="14">
        <v>28</v>
      </c>
      <c r="G16" s="14">
        <v>64</v>
      </c>
      <c r="H16" s="14">
        <f t="shared" si="5"/>
        <v>233</v>
      </c>
      <c r="I16" s="14">
        <f t="shared" si="6"/>
        <v>46.6</v>
      </c>
      <c r="J16" s="14" t="str">
        <f t="shared" si="7"/>
        <v>B</v>
      </c>
      <c r="K16" s="14">
        <f t="shared" si="8"/>
        <v>46.6</v>
      </c>
      <c r="L16" s="14">
        <v>5</v>
      </c>
      <c r="M16" s="14" t="str">
        <f t="shared" si="9"/>
        <v>Pass</v>
      </c>
    </row>
    <row r="17" spans="2:13" ht="15.5" x14ac:dyDescent="0.35">
      <c r="B17" s="15" t="s">
        <v>22</v>
      </c>
      <c r="C17" s="14">
        <v>42</v>
      </c>
      <c r="D17" s="14">
        <v>50</v>
      </c>
      <c r="E17" s="14">
        <v>49</v>
      </c>
      <c r="F17" s="14">
        <v>69</v>
      </c>
      <c r="G17" s="14">
        <v>25</v>
      </c>
      <c r="H17" s="14">
        <f t="shared" si="5"/>
        <v>235</v>
      </c>
      <c r="I17" s="14">
        <f t="shared" si="6"/>
        <v>47</v>
      </c>
      <c r="J17" s="14" t="str">
        <f t="shared" si="7"/>
        <v>B</v>
      </c>
      <c r="K17" s="14">
        <f t="shared" si="8"/>
        <v>47</v>
      </c>
      <c r="L17" s="14">
        <v>4</v>
      </c>
      <c r="M17" s="14" t="str">
        <f t="shared" si="9"/>
        <v>Compartment</v>
      </c>
    </row>
    <row r="18" spans="2:13" ht="15.5" x14ac:dyDescent="0.35">
      <c r="B18" s="15" t="s">
        <v>119</v>
      </c>
      <c r="C18" s="14">
        <v>71</v>
      </c>
      <c r="D18" s="14">
        <v>57</v>
      </c>
      <c r="E18" s="14">
        <v>25</v>
      </c>
      <c r="F18" s="14">
        <v>39</v>
      </c>
      <c r="G18" s="14">
        <v>32</v>
      </c>
      <c r="H18" s="14">
        <f t="shared" si="5"/>
        <v>224</v>
      </c>
      <c r="I18" s="14">
        <f t="shared" si="6"/>
        <v>44.8</v>
      </c>
      <c r="J18" s="14" t="str">
        <f t="shared" si="7"/>
        <v>C</v>
      </c>
      <c r="K18" s="14">
        <f t="shared" si="8"/>
        <v>44.8</v>
      </c>
      <c r="L18" s="14">
        <v>3</v>
      </c>
      <c r="M18" s="14" t="str">
        <f t="shared" si="9"/>
        <v>Compartment</v>
      </c>
    </row>
    <row r="19" spans="2:13" ht="15.5" x14ac:dyDescent="0.35">
      <c r="B19" s="15" t="s">
        <v>120</v>
      </c>
      <c r="C19" s="14">
        <v>30</v>
      </c>
      <c r="D19" s="14">
        <v>46</v>
      </c>
      <c r="E19" s="14">
        <v>58</v>
      </c>
      <c r="F19" s="14">
        <v>74</v>
      </c>
      <c r="G19" s="14">
        <v>62</v>
      </c>
      <c r="H19" s="14">
        <f t="shared" si="5"/>
        <v>270</v>
      </c>
      <c r="I19" s="14">
        <f t="shared" si="6"/>
        <v>54</v>
      </c>
      <c r="J19" s="14" t="str">
        <f t="shared" si="7"/>
        <v>A</v>
      </c>
      <c r="K19" s="14">
        <f t="shared" si="8"/>
        <v>54</v>
      </c>
      <c r="L19" s="14">
        <v>4</v>
      </c>
      <c r="M19" s="14" t="str">
        <f t="shared" si="9"/>
        <v>Compartment</v>
      </c>
    </row>
    <row r="20" spans="2:13" ht="15.5" x14ac:dyDescent="0.35">
      <c r="B20" s="15" t="s">
        <v>121</v>
      </c>
      <c r="C20" s="14">
        <v>58</v>
      </c>
      <c r="D20" s="14">
        <v>25</v>
      </c>
      <c r="E20" s="14">
        <v>37</v>
      </c>
      <c r="F20" s="14">
        <v>39</v>
      </c>
      <c r="G20" s="14">
        <v>47</v>
      </c>
      <c r="H20" s="14">
        <f t="shared" si="5"/>
        <v>206</v>
      </c>
      <c r="I20" s="14">
        <f t="shared" si="6"/>
        <v>41.2</v>
      </c>
      <c r="J20" s="14" t="str">
        <f t="shared" si="7"/>
        <v>C</v>
      </c>
      <c r="K20" s="14">
        <f t="shared" si="8"/>
        <v>41.2</v>
      </c>
      <c r="L20" s="14">
        <v>4</v>
      </c>
      <c r="M20" s="14" t="str">
        <f t="shared" si="9"/>
        <v>Compartment</v>
      </c>
    </row>
    <row r="21" spans="2:13" ht="15.5" x14ac:dyDescent="0.35">
      <c r="B21" s="15" t="s">
        <v>122</v>
      </c>
      <c r="C21" s="14">
        <v>46</v>
      </c>
      <c r="D21" s="14">
        <v>41</v>
      </c>
      <c r="E21" s="14">
        <v>35</v>
      </c>
      <c r="F21" s="14">
        <v>37</v>
      </c>
      <c r="G21" s="14">
        <v>48</v>
      </c>
      <c r="H21" s="14">
        <f t="shared" si="5"/>
        <v>207</v>
      </c>
      <c r="I21" s="14">
        <f t="shared" si="6"/>
        <v>41.4</v>
      </c>
      <c r="J21" s="14" t="str">
        <f t="shared" si="7"/>
        <v>C</v>
      </c>
      <c r="K21" s="14">
        <f t="shared" si="8"/>
        <v>41.4</v>
      </c>
      <c r="L21" s="14">
        <v>5</v>
      </c>
      <c r="M21" s="14" t="str">
        <f t="shared" si="9"/>
        <v>Pass</v>
      </c>
    </row>
    <row r="22" spans="2:13" ht="15.5" x14ac:dyDescent="0.35">
      <c r="B22" s="15" t="s">
        <v>123</v>
      </c>
      <c r="C22" s="14">
        <v>51</v>
      </c>
      <c r="D22" s="14">
        <v>31</v>
      </c>
      <c r="E22" s="14">
        <v>22</v>
      </c>
      <c r="F22" s="14">
        <v>67</v>
      </c>
      <c r="G22" s="14">
        <v>74</v>
      </c>
      <c r="H22" s="14">
        <f t="shared" si="5"/>
        <v>245</v>
      </c>
      <c r="I22" s="14">
        <f t="shared" si="6"/>
        <v>49</v>
      </c>
      <c r="J22" s="14" t="str">
        <f t="shared" si="7"/>
        <v>B</v>
      </c>
      <c r="K22" s="14">
        <f t="shared" si="8"/>
        <v>49</v>
      </c>
      <c r="L22" s="14">
        <v>3</v>
      </c>
      <c r="M22" s="14" t="str">
        <f t="shared" si="9"/>
        <v>Compartment</v>
      </c>
    </row>
    <row r="23" spans="2:13" ht="15.5" x14ac:dyDescent="0.35">
      <c r="B23" s="15" t="s">
        <v>124</v>
      </c>
      <c r="C23" s="14">
        <v>57</v>
      </c>
      <c r="D23" s="14">
        <v>44</v>
      </c>
      <c r="E23" s="14">
        <v>36</v>
      </c>
      <c r="F23" s="14">
        <v>27</v>
      </c>
      <c r="G23" s="14">
        <v>73</v>
      </c>
      <c r="H23" s="14">
        <f t="shared" si="5"/>
        <v>237</v>
      </c>
      <c r="I23" s="14">
        <f t="shared" si="6"/>
        <v>47.4</v>
      </c>
      <c r="J23" s="14" t="str">
        <f t="shared" si="7"/>
        <v>B</v>
      </c>
      <c r="K23" s="14">
        <f t="shared" si="8"/>
        <v>47.4</v>
      </c>
      <c r="L23" s="14">
        <v>4</v>
      </c>
      <c r="M23" s="14" t="str">
        <f t="shared" si="9"/>
        <v>Compartment</v>
      </c>
    </row>
    <row r="24" spans="2:13" ht="15.5" x14ac:dyDescent="0.35">
      <c r="B24" s="15" t="s">
        <v>125</v>
      </c>
      <c r="C24" s="14">
        <v>68</v>
      </c>
      <c r="D24" s="14">
        <v>35</v>
      </c>
      <c r="E24" s="14">
        <v>62</v>
      </c>
      <c r="F24" s="14">
        <v>50</v>
      </c>
      <c r="G24" s="14">
        <v>52</v>
      </c>
      <c r="H24" s="14">
        <f t="shared" si="5"/>
        <v>267</v>
      </c>
      <c r="I24" s="14">
        <f t="shared" si="6"/>
        <v>53.4</v>
      </c>
      <c r="J24" s="14" t="str">
        <f t="shared" si="7"/>
        <v>A</v>
      </c>
      <c r="K24" s="14">
        <f t="shared" si="8"/>
        <v>53.4</v>
      </c>
      <c r="L24" s="14">
        <v>5</v>
      </c>
      <c r="M24" s="14" t="str">
        <f t="shared" si="9"/>
        <v>Pass</v>
      </c>
    </row>
    <row r="25" spans="2:13" ht="15.5" x14ac:dyDescent="0.35">
      <c r="B25" s="15" t="s">
        <v>126</v>
      </c>
      <c r="C25" s="14">
        <v>43</v>
      </c>
      <c r="D25" s="14">
        <v>46</v>
      </c>
      <c r="E25" s="14">
        <v>39</v>
      </c>
      <c r="F25" s="14">
        <v>64</v>
      </c>
      <c r="G25" s="14">
        <v>59</v>
      </c>
      <c r="H25" s="14">
        <f t="shared" si="5"/>
        <v>251</v>
      </c>
      <c r="I25" s="14">
        <f t="shared" si="6"/>
        <v>50.2</v>
      </c>
      <c r="J25" s="14" t="str">
        <f t="shared" si="7"/>
        <v>B</v>
      </c>
      <c r="K25" s="14">
        <f t="shared" si="8"/>
        <v>50.2</v>
      </c>
      <c r="L25" s="14">
        <v>5</v>
      </c>
      <c r="M25" s="14" t="str">
        <f t="shared" si="9"/>
        <v>Pass</v>
      </c>
    </row>
    <row r="26" spans="2:13" ht="15.5" x14ac:dyDescent="0.35">
      <c r="B26" s="15" t="s">
        <v>127</v>
      </c>
      <c r="C26" s="14">
        <v>28</v>
      </c>
      <c r="D26" s="14">
        <v>64</v>
      </c>
      <c r="E26" s="14">
        <v>34</v>
      </c>
      <c r="F26" s="14">
        <v>48</v>
      </c>
      <c r="G26" s="14">
        <v>54</v>
      </c>
      <c r="H26" s="14">
        <f t="shared" si="5"/>
        <v>228</v>
      </c>
      <c r="I26" s="14">
        <f t="shared" si="6"/>
        <v>45.6</v>
      </c>
      <c r="J26" s="14" t="str">
        <f t="shared" si="7"/>
        <v>C</v>
      </c>
      <c r="K26" s="14">
        <f t="shared" si="8"/>
        <v>45.6</v>
      </c>
      <c r="L26" s="14">
        <v>4</v>
      </c>
      <c r="M26" s="14" t="str">
        <f t="shared" si="9"/>
        <v>Compartment</v>
      </c>
    </row>
    <row r="28" spans="2:13" x14ac:dyDescent="0.35">
      <c r="F28" t="s">
        <v>164</v>
      </c>
      <c r="G28" t="s">
        <v>165</v>
      </c>
    </row>
    <row r="29" spans="2:13" x14ac:dyDescent="0.35">
      <c r="F29" t="s">
        <v>160</v>
      </c>
      <c r="G29" s="19">
        <f>INDEX(B6:M26,5,5)</f>
        <v>64</v>
      </c>
    </row>
    <row r="30" spans="2:13" x14ac:dyDescent="0.35">
      <c r="F30" t="s">
        <v>161</v>
      </c>
      <c r="G30" s="20" t="str">
        <f>INDEX(B6:M26,15,1)</f>
        <v>Bholu</v>
      </c>
    </row>
    <row r="38" spans="8:10" x14ac:dyDescent="0.35">
      <c r="H38" s="16" t="s">
        <v>162</v>
      </c>
      <c r="I38" s="153" t="s">
        <v>163</v>
      </c>
      <c r="J38" s="153"/>
    </row>
    <row r="39" spans="8:10" x14ac:dyDescent="0.35">
      <c r="H39" s="18">
        <v>1</v>
      </c>
      <c r="I39" s="18">
        <v>265</v>
      </c>
    </row>
    <row r="40" spans="8:10" x14ac:dyDescent="0.35">
      <c r="H40" s="16">
        <v>2</v>
      </c>
      <c r="I40" s="16">
        <v>354</v>
      </c>
    </row>
    <row r="41" spans="8:10" x14ac:dyDescent="0.35">
      <c r="H41" s="16">
        <v>3</v>
      </c>
      <c r="I41" s="16">
        <v>156</v>
      </c>
    </row>
    <row r="42" spans="8:10" x14ac:dyDescent="0.35">
      <c r="H42" s="16">
        <v>4</v>
      </c>
      <c r="I42" s="16">
        <v>485</v>
      </c>
    </row>
    <row r="43" spans="8:10" x14ac:dyDescent="0.35">
      <c r="H43" s="16">
        <v>5</v>
      </c>
      <c r="I43" s="16">
        <v>354</v>
      </c>
    </row>
    <row r="44" spans="8:10" x14ac:dyDescent="0.35">
      <c r="H44" s="22">
        <v>6</v>
      </c>
      <c r="I44" s="22">
        <f>FORECAST(H44,I39:I43,H39:H43)</f>
        <v>415.5</v>
      </c>
    </row>
    <row r="45" spans="8:10" x14ac:dyDescent="0.35">
      <c r="H45" s="22">
        <v>7</v>
      </c>
      <c r="I45" s="22">
        <f t="shared" ref="I45:I47" si="10">FORECAST(H45,I40:I44,H40:H44)</f>
        <v>449.2</v>
      </c>
    </row>
    <row r="46" spans="8:10" x14ac:dyDescent="0.35">
      <c r="H46" s="22">
        <v>8</v>
      </c>
      <c r="I46" s="22">
        <f t="shared" si="10"/>
        <v>527.01</v>
      </c>
    </row>
    <row r="47" spans="8:10" x14ac:dyDescent="0.35">
      <c r="H47" s="22">
        <v>9</v>
      </c>
      <c r="I47" s="22">
        <f t="shared" si="10"/>
        <v>499.90800000000002</v>
      </c>
    </row>
  </sheetData>
  <mergeCells count="1">
    <mergeCell ref="I38:J3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002060"/>
  </sheetPr>
  <dimension ref="B7:Q42"/>
  <sheetViews>
    <sheetView workbookViewId="0"/>
  </sheetViews>
  <sheetFormatPr defaultColWidth="9.1796875" defaultRowHeight="14.5" x14ac:dyDescent="0.35"/>
  <cols>
    <col min="1" max="1" width="9.1796875" style="46"/>
    <col min="2" max="2" width="11.1796875" style="46" bestFit="1" customWidth="1"/>
    <col min="3" max="3" width="11.1796875" style="46" customWidth="1"/>
    <col min="4" max="4" width="13.453125" style="46" bestFit="1" customWidth="1"/>
    <col min="5" max="5" width="12.1796875" style="46" bestFit="1" customWidth="1"/>
    <col min="6" max="6" width="12.26953125" style="46" bestFit="1" customWidth="1"/>
    <col min="7" max="7" width="11.54296875" style="46" bestFit="1" customWidth="1"/>
    <col min="8" max="8" width="15.26953125" style="46" customWidth="1"/>
    <col min="9" max="9" width="17.54296875" style="46" customWidth="1"/>
    <col min="10" max="10" width="9.26953125" style="46" customWidth="1"/>
    <col min="11" max="11" width="8.453125" style="46" customWidth="1"/>
    <col min="12" max="12" width="15.26953125" style="46" bestFit="1" customWidth="1"/>
    <col min="13" max="13" width="11.1796875" style="46" bestFit="1" customWidth="1"/>
    <col min="14" max="14" width="12" style="46" bestFit="1" customWidth="1"/>
    <col min="15" max="16384" width="9.1796875" style="46"/>
  </cols>
  <sheetData>
    <row r="7" spans="3:17" x14ac:dyDescent="0.35">
      <c r="M7" s="156" t="s">
        <v>182</v>
      </c>
      <c r="N7" s="156"/>
      <c r="O7" s="156"/>
      <c r="P7" s="156"/>
      <c r="Q7" s="156"/>
    </row>
    <row r="8" spans="3:17" x14ac:dyDescent="0.35">
      <c r="C8" s="61" t="s">
        <v>189</v>
      </c>
      <c r="D8" s="61" t="s">
        <v>166</v>
      </c>
      <c r="E8" s="61" t="s">
        <v>167</v>
      </c>
      <c r="F8" s="61" t="s">
        <v>150</v>
      </c>
      <c r="G8" s="61" t="s">
        <v>155</v>
      </c>
      <c r="H8" s="61" t="s">
        <v>154</v>
      </c>
      <c r="I8" s="61" t="s">
        <v>157</v>
      </c>
      <c r="M8" s="156"/>
      <c r="N8" s="156"/>
      <c r="O8" s="156"/>
      <c r="P8" s="156"/>
      <c r="Q8" s="156"/>
    </row>
    <row r="9" spans="3:17" x14ac:dyDescent="0.35">
      <c r="C9" s="62">
        <v>100</v>
      </c>
      <c r="D9" s="63" t="s">
        <v>168</v>
      </c>
      <c r="E9" s="64" t="s">
        <v>174</v>
      </c>
      <c r="F9" s="65" t="s">
        <v>151</v>
      </c>
      <c r="G9" s="66">
        <v>12</v>
      </c>
      <c r="H9" s="28">
        <v>52000</v>
      </c>
      <c r="I9" s="28">
        <f>G9*H9</f>
        <v>624000</v>
      </c>
      <c r="M9" s="156"/>
      <c r="N9" s="156"/>
      <c r="O9" s="156"/>
      <c r="P9" s="156"/>
      <c r="Q9" s="156"/>
    </row>
    <row r="10" spans="3:17" x14ac:dyDescent="0.35">
      <c r="C10" s="62">
        <v>101</v>
      </c>
      <c r="D10" s="63" t="s">
        <v>169</v>
      </c>
      <c r="E10" s="64" t="s">
        <v>175</v>
      </c>
      <c r="F10" s="65" t="s">
        <v>152</v>
      </c>
      <c r="G10" s="66">
        <v>25</v>
      </c>
      <c r="H10" s="28">
        <v>35000</v>
      </c>
      <c r="I10" s="28">
        <f t="shared" ref="I10:I19" si="0">G10*H10</f>
        <v>875000</v>
      </c>
      <c r="M10" s="56" t="s">
        <v>166</v>
      </c>
      <c r="N10" s="56" t="s">
        <v>155</v>
      </c>
    </row>
    <row r="11" spans="3:17" x14ac:dyDescent="0.35">
      <c r="C11" s="62">
        <v>102</v>
      </c>
      <c r="D11" s="63" t="s">
        <v>170</v>
      </c>
      <c r="E11" s="64" t="s">
        <v>176</v>
      </c>
      <c r="F11" s="65" t="s">
        <v>153</v>
      </c>
      <c r="G11" s="66">
        <v>26</v>
      </c>
      <c r="H11" s="28">
        <v>12000</v>
      </c>
      <c r="I11" s="28">
        <f t="shared" si="0"/>
        <v>312000</v>
      </c>
      <c r="M11" s="24" t="s">
        <v>171</v>
      </c>
      <c r="N11" s="24">
        <f>DSUM(D8:I19,G8,M10:M11)</f>
        <v>30</v>
      </c>
    </row>
    <row r="12" spans="3:17" x14ac:dyDescent="0.35">
      <c r="C12" s="62">
        <v>103</v>
      </c>
      <c r="D12" s="63" t="s">
        <v>171</v>
      </c>
      <c r="E12" s="64" t="s">
        <v>177</v>
      </c>
      <c r="F12" s="65" t="s">
        <v>151</v>
      </c>
      <c r="G12" s="66">
        <v>15</v>
      </c>
      <c r="H12" s="28">
        <v>500</v>
      </c>
      <c r="I12" s="28">
        <f t="shared" si="0"/>
        <v>7500</v>
      </c>
    </row>
    <row r="13" spans="3:17" x14ac:dyDescent="0.35">
      <c r="C13" s="62">
        <v>104</v>
      </c>
      <c r="D13" s="63" t="s">
        <v>172</v>
      </c>
      <c r="E13" s="64" t="s">
        <v>178</v>
      </c>
      <c r="F13" s="65" t="s">
        <v>152</v>
      </c>
      <c r="G13" s="66">
        <v>35</v>
      </c>
      <c r="H13" s="28">
        <v>4500</v>
      </c>
      <c r="I13" s="28">
        <f t="shared" si="0"/>
        <v>157500</v>
      </c>
    </row>
    <row r="14" spans="3:17" x14ac:dyDescent="0.35">
      <c r="C14" s="62">
        <v>105</v>
      </c>
      <c r="D14" s="63" t="s">
        <v>168</v>
      </c>
      <c r="E14" s="64" t="s">
        <v>174</v>
      </c>
      <c r="F14" s="65" t="s">
        <v>180</v>
      </c>
      <c r="G14" s="66">
        <v>45</v>
      </c>
      <c r="H14" s="28">
        <v>32000</v>
      </c>
      <c r="I14" s="28">
        <f t="shared" si="0"/>
        <v>1440000</v>
      </c>
      <c r="M14" s="157" t="s">
        <v>183</v>
      </c>
      <c r="N14" s="157"/>
      <c r="O14" s="157"/>
      <c r="P14" s="157"/>
      <c r="Q14" s="157"/>
    </row>
    <row r="15" spans="3:17" x14ac:dyDescent="0.35">
      <c r="C15" s="62">
        <v>106</v>
      </c>
      <c r="D15" s="63" t="s">
        <v>169</v>
      </c>
      <c r="E15" s="64" t="s">
        <v>146</v>
      </c>
      <c r="F15" s="65" t="s">
        <v>181</v>
      </c>
      <c r="G15" s="66">
        <v>85</v>
      </c>
      <c r="H15" s="28">
        <v>23000</v>
      </c>
      <c r="I15" s="28">
        <f t="shared" si="0"/>
        <v>1955000</v>
      </c>
      <c r="M15" s="157"/>
      <c r="N15" s="157"/>
      <c r="O15" s="157"/>
      <c r="P15" s="157"/>
      <c r="Q15" s="157"/>
    </row>
    <row r="16" spans="3:17" x14ac:dyDescent="0.35">
      <c r="C16" s="62">
        <v>107</v>
      </c>
      <c r="D16" s="63" t="s">
        <v>170</v>
      </c>
      <c r="E16" s="64" t="s">
        <v>176</v>
      </c>
      <c r="F16" s="65" t="s">
        <v>151</v>
      </c>
      <c r="G16" s="66">
        <v>74</v>
      </c>
      <c r="H16" s="28">
        <v>20000</v>
      </c>
      <c r="I16" s="28">
        <f t="shared" si="0"/>
        <v>1480000</v>
      </c>
      <c r="M16" s="157"/>
      <c r="N16" s="157"/>
      <c r="O16" s="157"/>
      <c r="P16" s="157"/>
      <c r="Q16" s="157"/>
    </row>
    <row r="17" spans="2:17" x14ac:dyDescent="0.35">
      <c r="C17" s="62">
        <v>108</v>
      </c>
      <c r="D17" s="63" t="s">
        <v>171</v>
      </c>
      <c r="E17" s="64" t="s">
        <v>179</v>
      </c>
      <c r="F17" s="65" t="s">
        <v>152</v>
      </c>
      <c r="G17" s="66">
        <v>15</v>
      </c>
      <c r="H17" s="28">
        <v>200</v>
      </c>
      <c r="I17" s="28">
        <f t="shared" si="0"/>
        <v>3000</v>
      </c>
      <c r="M17" s="56" t="s">
        <v>166</v>
      </c>
      <c r="N17" s="56" t="s">
        <v>154</v>
      </c>
    </row>
    <row r="18" spans="2:17" x14ac:dyDescent="0.35">
      <c r="C18" s="62">
        <v>109</v>
      </c>
      <c r="D18" s="63" t="s">
        <v>168</v>
      </c>
      <c r="E18" s="64" t="s">
        <v>177</v>
      </c>
      <c r="F18" s="65" t="s">
        <v>151</v>
      </c>
      <c r="G18" s="66">
        <v>24</v>
      </c>
      <c r="H18" s="28">
        <v>22000</v>
      </c>
      <c r="I18" s="28">
        <f t="shared" si="0"/>
        <v>528000</v>
      </c>
      <c r="M18" s="24" t="s">
        <v>168</v>
      </c>
      <c r="N18" s="24">
        <f>DAVERAGE(D8:I19,H8,M17:M18)</f>
        <v>35333.333333333336</v>
      </c>
    </row>
    <row r="19" spans="2:17" x14ac:dyDescent="0.35">
      <c r="C19" s="62">
        <v>110</v>
      </c>
      <c r="D19" s="63" t="s">
        <v>173</v>
      </c>
      <c r="E19" s="64" t="s">
        <v>179</v>
      </c>
      <c r="F19" s="65" t="s">
        <v>151</v>
      </c>
      <c r="G19" s="66">
        <v>35</v>
      </c>
      <c r="H19" s="28">
        <v>32000</v>
      </c>
      <c r="I19" s="28">
        <f t="shared" si="0"/>
        <v>1120000</v>
      </c>
    </row>
    <row r="21" spans="2:17" x14ac:dyDescent="0.35">
      <c r="M21" s="158" t="s">
        <v>184</v>
      </c>
      <c r="N21" s="158"/>
      <c r="O21" s="158"/>
      <c r="P21" s="158"/>
      <c r="Q21" s="158"/>
    </row>
    <row r="22" spans="2:17" x14ac:dyDescent="0.35">
      <c r="B22" s="160" t="s">
        <v>186</v>
      </c>
      <c r="C22" s="160"/>
      <c r="D22" s="160"/>
      <c r="E22" s="160"/>
      <c r="M22" s="158"/>
      <c r="N22" s="158"/>
      <c r="O22" s="158"/>
      <c r="P22" s="158"/>
      <c r="Q22" s="158"/>
    </row>
    <row r="23" spans="2:17" x14ac:dyDescent="0.35">
      <c r="B23" s="160"/>
      <c r="C23" s="160"/>
      <c r="D23" s="160"/>
      <c r="E23" s="160"/>
      <c r="M23" s="158"/>
      <c r="N23" s="158"/>
      <c r="O23" s="158"/>
      <c r="P23" s="158"/>
      <c r="Q23" s="158"/>
    </row>
    <row r="24" spans="2:17" x14ac:dyDescent="0.35">
      <c r="B24" s="160"/>
      <c r="C24" s="160"/>
      <c r="D24" s="160"/>
      <c r="E24" s="160"/>
      <c r="M24" s="56" t="s">
        <v>166</v>
      </c>
      <c r="N24" s="56" t="s">
        <v>154</v>
      </c>
    </row>
    <row r="25" spans="2:17" x14ac:dyDescent="0.35">
      <c r="B25" s="24" t="s">
        <v>166</v>
      </c>
      <c r="C25" s="24" t="s">
        <v>154</v>
      </c>
      <c r="M25" s="24" t="s">
        <v>168</v>
      </c>
      <c r="N25" s="24">
        <f>DMIN(D8:I19,H8,M24:M25)</f>
        <v>22000</v>
      </c>
    </row>
    <row r="26" spans="2:17" x14ac:dyDescent="0.35">
      <c r="B26" s="24" t="s">
        <v>168</v>
      </c>
      <c r="C26" s="24">
        <f>DCOUNT(D8:I19,H8,B25:B26)</f>
        <v>3</v>
      </c>
    </row>
    <row r="28" spans="2:17" x14ac:dyDescent="0.35">
      <c r="M28" s="159" t="s">
        <v>185</v>
      </c>
      <c r="N28" s="159"/>
      <c r="O28" s="159"/>
      <c r="P28" s="159"/>
      <c r="Q28" s="159"/>
    </row>
    <row r="29" spans="2:17" x14ac:dyDescent="0.35">
      <c r="B29" s="161" t="s">
        <v>187</v>
      </c>
      <c r="C29" s="161"/>
      <c r="D29" s="161"/>
      <c r="E29" s="161"/>
      <c r="M29" s="159"/>
      <c r="N29" s="159"/>
      <c r="O29" s="159"/>
      <c r="P29" s="159"/>
      <c r="Q29" s="159"/>
    </row>
    <row r="30" spans="2:17" x14ac:dyDescent="0.35">
      <c r="B30" s="161"/>
      <c r="C30" s="161"/>
      <c r="D30" s="161"/>
      <c r="E30" s="161"/>
      <c r="M30" s="159"/>
      <c r="N30" s="159"/>
      <c r="O30" s="159"/>
      <c r="P30" s="159"/>
      <c r="Q30" s="159"/>
    </row>
    <row r="31" spans="2:17" x14ac:dyDescent="0.35">
      <c r="B31" s="161"/>
      <c r="C31" s="161"/>
      <c r="D31" s="161"/>
      <c r="E31" s="161"/>
      <c r="M31" s="56" t="s">
        <v>166</v>
      </c>
      <c r="N31" s="56" t="s">
        <v>154</v>
      </c>
    </row>
    <row r="32" spans="2:17" x14ac:dyDescent="0.35">
      <c r="B32" s="24" t="s">
        <v>166</v>
      </c>
      <c r="C32" s="24" t="s">
        <v>154</v>
      </c>
      <c r="M32" s="24" t="s">
        <v>171</v>
      </c>
      <c r="N32" s="24">
        <f>DMAX(D8:I19,H8,M31:M32)</f>
        <v>500</v>
      </c>
    </row>
    <row r="33" spans="2:8" x14ac:dyDescent="0.35">
      <c r="B33" s="24" t="s">
        <v>171</v>
      </c>
      <c r="C33" s="24">
        <f>DCOUNTA(D8:I19,H8,B32:B33)</f>
        <v>2</v>
      </c>
    </row>
    <row r="36" spans="2:8" x14ac:dyDescent="0.35">
      <c r="B36" s="154" t="s">
        <v>188</v>
      </c>
      <c r="C36" s="154"/>
      <c r="D36" s="154"/>
      <c r="E36" s="154"/>
      <c r="F36" s="154"/>
    </row>
    <row r="37" spans="2:8" x14ac:dyDescent="0.35">
      <c r="B37" s="154"/>
      <c r="C37" s="154"/>
      <c r="D37" s="154"/>
      <c r="E37" s="154"/>
      <c r="F37" s="154"/>
    </row>
    <row r="38" spans="2:8" x14ac:dyDescent="0.35">
      <c r="B38" s="154"/>
      <c r="C38" s="154"/>
      <c r="D38" s="154"/>
      <c r="E38" s="154"/>
      <c r="F38" s="154"/>
    </row>
    <row r="39" spans="2:8" x14ac:dyDescent="0.35">
      <c r="B39" s="155"/>
      <c r="C39" s="155"/>
      <c r="D39" s="155"/>
      <c r="E39" s="155"/>
      <c r="F39" s="155"/>
    </row>
    <row r="40" spans="2:8" x14ac:dyDescent="0.35">
      <c r="B40" s="24" t="s">
        <v>189</v>
      </c>
      <c r="C40" s="24" t="s">
        <v>166</v>
      </c>
      <c r="D40" s="24" t="s">
        <v>167</v>
      </c>
      <c r="E40" s="24" t="s">
        <v>150</v>
      </c>
      <c r="F40" s="24" t="s">
        <v>155</v>
      </c>
      <c r="G40" s="24" t="s">
        <v>154</v>
      </c>
      <c r="H40" s="24" t="s">
        <v>157</v>
      </c>
    </row>
    <row r="41" spans="2:8" x14ac:dyDescent="0.35">
      <c r="B41" s="24">
        <v>100</v>
      </c>
      <c r="C41" s="24" t="str">
        <f>DGET($C$8:$I$19,$D$8,B40:B41)</f>
        <v>CPU</v>
      </c>
      <c r="D41" s="24" t="str">
        <f>DGET($C$8:$I$19,$E$8,B40:C41)</f>
        <v>RAGER</v>
      </c>
      <c r="E41" s="24"/>
      <c r="F41" s="24"/>
      <c r="G41" s="24"/>
      <c r="H41" s="24"/>
    </row>
    <row r="42" spans="2:8" x14ac:dyDescent="0.35">
      <c r="B42" s="153" t="s">
        <v>190</v>
      </c>
      <c r="C42" s="153"/>
      <c r="D42" s="153"/>
      <c r="E42" s="153"/>
      <c r="F42" s="153"/>
      <c r="G42" s="153"/>
      <c r="H42" s="153"/>
    </row>
  </sheetData>
  <autoFilter ref="D8:I8" xr:uid="{00000000-0009-0000-0000-000005000000}"/>
  <mergeCells count="8">
    <mergeCell ref="B36:F39"/>
    <mergeCell ref="B42:H42"/>
    <mergeCell ref="M7:Q9"/>
    <mergeCell ref="M14:Q16"/>
    <mergeCell ref="M21:Q23"/>
    <mergeCell ref="M28:Q30"/>
    <mergeCell ref="B22:E24"/>
    <mergeCell ref="B29:E31"/>
  </mergeCells>
  <conditionalFormatting sqref="H9:H19">
    <cfRule type="dataBar" priority="2">
      <dataBar>
        <cfvo type="min"/>
        <cfvo type="max"/>
        <color rgb="FF008AEF"/>
      </dataBar>
    </cfRule>
  </conditionalFormatting>
  <conditionalFormatting sqref="I9:I19">
    <cfRule type="dataBar" priority="1">
      <dataBar>
        <cfvo type="min"/>
        <cfvo type="max"/>
        <color rgb="FFD6007B"/>
      </dataBar>
    </cfRule>
  </conditionalFormatting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00B050"/>
  </sheetPr>
  <dimension ref="A9:K28"/>
  <sheetViews>
    <sheetView topLeftCell="A7" workbookViewId="0">
      <selection activeCell="C25" sqref="C25"/>
    </sheetView>
  </sheetViews>
  <sheetFormatPr defaultColWidth="9.1796875" defaultRowHeight="14.5" x14ac:dyDescent="0.35"/>
  <cols>
    <col min="1" max="2" width="9.1796875" style="46"/>
    <col min="3" max="3" width="13.54296875" style="46" bestFit="1" customWidth="1"/>
    <col min="4" max="4" width="9.1796875" style="46"/>
    <col min="5" max="5" width="14.7265625" style="46" bestFit="1" customWidth="1"/>
    <col min="6" max="6" width="9.26953125" style="46" bestFit="1" customWidth="1"/>
    <col min="7" max="16384" width="9.1796875" style="46"/>
  </cols>
  <sheetData>
    <row r="9" spans="2:11" x14ac:dyDescent="0.35">
      <c r="D9" s="162" t="s">
        <v>204</v>
      </c>
      <c r="E9" s="162"/>
      <c r="F9" s="162"/>
      <c r="I9" s="71" t="s">
        <v>162</v>
      </c>
      <c r="J9" s="45" t="s">
        <v>199</v>
      </c>
      <c r="K9" s="23" t="s">
        <v>200</v>
      </c>
    </row>
    <row r="10" spans="2:11" x14ac:dyDescent="0.35">
      <c r="D10" s="163"/>
      <c r="E10" s="163"/>
      <c r="F10" s="163"/>
      <c r="I10" s="24">
        <v>1</v>
      </c>
      <c r="J10" s="69">
        <f>PPMT($F$12/12,I10,$F$13*12,-$F$11)</f>
        <v>735.22834886721341</v>
      </c>
      <c r="K10" s="69">
        <f>IPMT($F$12/12,I10,$F$13*12,-$F$11)</f>
        <v>208.33333333333334</v>
      </c>
    </row>
    <row r="11" spans="2:11" x14ac:dyDescent="0.35">
      <c r="D11" s="24" t="s">
        <v>193</v>
      </c>
      <c r="E11" s="24" t="s">
        <v>194</v>
      </c>
      <c r="F11" s="24">
        <v>50000</v>
      </c>
      <c r="I11" s="24">
        <v>2</v>
      </c>
      <c r="J11" s="69">
        <f t="shared" ref="J11:J19" si="0">PPMT($F$12/12,I11,$F$13*12,-$F$11)</f>
        <v>738.29180032082684</v>
      </c>
      <c r="K11" s="69">
        <f t="shared" ref="K11:K19" si="1">IPMT($F$12/12,I11,$F$13*12,-$F$11)</f>
        <v>205.26988187971992</v>
      </c>
    </row>
    <row r="12" spans="2:11" x14ac:dyDescent="0.35">
      <c r="D12" s="24" t="s">
        <v>197</v>
      </c>
      <c r="E12" s="24" t="s">
        <v>154</v>
      </c>
      <c r="F12" s="68">
        <v>0.05</v>
      </c>
      <c r="I12" s="24">
        <v>3</v>
      </c>
      <c r="J12" s="69">
        <f t="shared" si="0"/>
        <v>741.36801615549689</v>
      </c>
      <c r="K12" s="69">
        <f t="shared" si="1"/>
        <v>202.19366604504984</v>
      </c>
    </row>
    <row r="13" spans="2:11" x14ac:dyDescent="0.35">
      <c r="D13" s="24" t="s">
        <v>196</v>
      </c>
      <c r="E13" s="24" t="s">
        <v>195</v>
      </c>
      <c r="F13" s="24">
        <v>5</v>
      </c>
      <c r="I13" s="24">
        <v>4</v>
      </c>
      <c r="J13" s="69">
        <f t="shared" si="0"/>
        <v>744.45704955614474</v>
      </c>
      <c r="K13" s="69">
        <f t="shared" si="1"/>
        <v>199.10463264440193</v>
      </c>
    </row>
    <row r="14" spans="2:11" x14ac:dyDescent="0.35">
      <c r="I14" s="24">
        <v>5</v>
      </c>
      <c r="J14" s="69">
        <f t="shared" si="0"/>
        <v>747.55895392929551</v>
      </c>
      <c r="K14" s="69">
        <f t="shared" si="1"/>
        <v>196.00272827125136</v>
      </c>
    </row>
    <row r="15" spans="2:11" x14ac:dyDescent="0.35">
      <c r="B15" s="153" t="s">
        <v>201</v>
      </c>
      <c r="C15" s="153"/>
      <c r="D15" s="153"/>
      <c r="E15" s="45" t="s">
        <v>198</v>
      </c>
      <c r="F15" s="69">
        <f>PMT(F12/12,F13*12,-F11)</f>
        <v>943.56168220054678</v>
      </c>
      <c r="H15" s="67"/>
      <c r="I15" s="24">
        <v>6</v>
      </c>
      <c r="J15" s="69">
        <f t="shared" si="0"/>
        <v>750.67378290400086</v>
      </c>
      <c r="K15" s="69">
        <f t="shared" si="1"/>
        <v>192.88789929654592</v>
      </c>
    </row>
    <row r="16" spans="2:11" x14ac:dyDescent="0.35">
      <c r="B16" s="153" t="s">
        <v>202</v>
      </c>
      <c r="C16" s="153"/>
      <c r="D16" s="153"/>
      <c r="E16" s="45" t="s">
        <v>199</v>
      </c>
      <c r="F16" s="69">
        <f>PPMT(F12/12,1,F13*12,-F11)</f>
        <v>735.22834886721341</v>
      </c>
      <c r="I16" s="24">
        <v>7</v>
      </c>
      <c r="J16" s="69">
        <f t="shared" si="0"/>
        <v>753.80159033276743</v>
      </c>
      <c r="K16" s="69">
        <f t="shared" si="1"/>
        <v>189.76009186777924</v>
      </c>
    </row>
    <row r="17" spans="1:11" x14ac:dyDescent="0.35">
      <c r="B17" s="153" t="s">
        <v>203</v>
      </c>
      <c r="C17" s="153"/>
      <c r="D17" s="153"/>
      <c r="E17" s="45" t="s">
        <v>200</v>
      </c>
      <c r="F17" s="69">
        <f>IPMT(F12/12,1,F13*12,-F11)</f>
        <v>208.33333333333334</v>
      </c>
      <c r="I17" s="24">
        <v>8</v>
      </c>
      <c r="J17" s="69">
        <f t="shared" si="0"/>
        <v>756.9424302924873</v>
      </c>
      <c r="K17" s="69">
        <f t="shared" si="1"/>
        <v>186.61925190805937</v>
      </c>
    </row>
    <row r="18" spans="1:11" x14ac:dyDescent="0.35">
      <c r="I18" s="24">
        <v>9</v>
      </c>
      <c r="J18" s="69">
        <f>PPMT($F$12/12,I18,$F$13*12,-$F$11)</f>
        <v>760.0963570853728</v>
      </c>
      <c r="K18" s="69">
        <f t="shared" si="1"/>
        <v>183.46532511517401</v>
      </c>
    </row>
    <row r="19" spans="1:11" x14ac:dyDescent="0.35">
      <c r="I19" s="24">
        <v>10</v>
      </c>
      <c r="J19" s="69">
        <f t="shared" si="0"/>
        <v>763.26342523989513</v>
      </c>
      <c r="K19" s="69">
        <f t="shared" si="1"/>
        <v>180.29825696065163</v>
      </c>
    </row>
    <row r="22" spans="1:11" x14ac:dyDescent="0.35">
      <c r="B22" s="23" t="s">
        <v>154</v>
      </c>
      <c r="C22" s="69">
        <f>RATE(F13*12,F15,-F11)*12</f>
        <v>5.0000000000001377E-2</v>
      </c>
    </row>
    <row r="23" spans="1:11" x14ac:dyDescent="0.35">
      <c r="B23" s="24"/>
      <c r="C23" s="24"/>
    </row>
    <row r="24" spans="1:11" x14ac:dyDescent="0.35">
      <c r="B24" s="23" t="s">
        <v>205</v>
      </c>
      <c r="C24" s="69">
        <f>NPER(F12/12,F15,-F11)/12</f>
        <v>5.0000000000000178</v>
      </c>
    </row>
    <row r="25" spans="1:11" x14ac:dyDescent="0.35">
      <c r="B25" s="24"/>
      <c r="C25" s="24"/>
    </row>
    <row r="26" spans="1:11" x14ac:dyDescent="0.35">
      <c r="B26" s="23" t="s">
        <v>193</v>
      </c>
      <c r="C26" s="70">
        <f>-PV(C22/12,C24*12,F15)</f>
        <v>50000.000000000982</v>
      </c>
    </row>
    <row r="27" spans="1:11" x14ac:dyDescent="0.35">
      <c r="B27" s="24"/>
      <c r="C27" s="24"/>
    </row>
    <row r="28" spans="1:11" x14ac:dyDescent="0.35">
      <c r="A28" s="24" t="s">
        <v>207</v>
      </c>
      <c r="B28" s="23" t="s">
        <v>206</v>
      </c>
      <c r="C28" s="70">
        <f>-FV(C22/12,C24*12,C26)</f>
        <v>3400304.1420423337</v>
      </c>
    </row>
  </sheetData>
  <mergeCells count="4">
    <mergeCell ref="B15:D15"/>
    <mergeCell ref="B16:D16"/>
    <mergeCell ref="B17:D17"/>
    <mergeCell ref="D9:F1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92D050"/>
  </sheetPr>
  <dimension ref="C6:N61"/>
  <sheetViews>
    <sheetView workbookViewId="0"/>
  </sheetViews>
  <sheetFormatPr defaultRowHeight="14.5" x14ac:dyDescent="0.35"/>
  <cols>
    <col min="3" max="3" width="15.26953125" bestFit="1" customWidth="1"/>
    <col min="4" max="4" width="11.1796875" customWidth="1"/>
    <col min="5" max="5" width="9.81640625" customWidth="1"/>
    <col min="6" max="6" width="12.26953125" bestFit="1" customWidth="1"/>
    <col min="7" max="7" width="9.26953125" customWidth="1"/>
    <col min="8" max="8" width="8.81640625" bestFit="1" customWidth="1"/>
    <col min="9" max="9" width="15.26953125" customWidth="1"/>
    <col min="10" max="10" width="8" customWidth="1"/>
    <col min="11" max="13" width="8.81640625" customWidth="1"/>
    <col min="14" max="14" width="10.81640625" bestFit="1" customWidth="1"/>
  </cols>
  <sheetData>
    <row r="6" spans="3:14" x14ac:dyDescent="0.35">
      <c r="C6" s="62">
        <v>1</v>
      </c>
      <c r="D6" s="62">
        <v>2</v>
      </c>
      <c r="E6" s="62">
        <v>3</v>
      </c>
      <c r="F6" s="62">
        <v>4</v>
      </c>
      <c r="G6" s="62">
        <v>5</v>
      </c>
      <c r="H6" s="62">
        <v>6</v>
      </c>
      <c r="I6" s="62">
        <v>7</v>
      </c>
    </row>
    <row r="7" spans="3:14" x14ac:dyDescent="0.35">
      <c r="C7" s="120" t="s">
        <v>189</v>
      </c>
      <c r="D7" s="120" t="s">
        <v>166</v>
      </c>
      <c r="E7" s="120" t="s">
        <v>167</v>
      </c>
      <c r="F7" s="120" t="s">
        <v>150</v>
      </c>
      <c r="G7" s="120" t="s">
        <v>155</v>
      </c>
      <c r="H7" s="120" t="s">
        <v>154</v>
      </c>
      <c r="I7" s="120" t="s">
        <v>157</v>
      </c>
      <c r="L7" s="164" t="s">
        <v>208</v>
      </c>
      <c r="M7" s="164"/>
      <c r="N7" s="164"/>
    </row>
    <row r="8" spans="3:14" x14ac:dyDescent="0.35">
      <c r="C8" s="121">
        <v>100</v>
      </c>
      <c r="D8" s="122" t="s">
        <v>168</v>
      </c>
      <c r="E8" s="123" t="s">
        <v>174</v>
      </c>
      <c r="F8" s="124" t="s">
        <v>151</v>
      </c>
      <c r="G8" s="125">
        <v>12</v>
      </c>
      <c r="H8" s="127">
        <v>52000</v>
      </c>
      <c r="I8" s="126">
        <f>G8*H8</f>
        <v>624000</v>
      </c>
    </row>
    <row r="9" spans="3:14" x14ac:dyDescent="0.35">
      <c r="C9" s="121">
        <v>101</v>
      </c>
      <c r="D9" s="122" t="s">
        <v>169</v>
      </c>
      <c r="E9" s="123" t="s">
        <v>175</v>
      </c>
      <c r="F9" s="124" t="s">
        <v>152</v>
      </c>
      <c r="G9" s="125">
        <v>25</v>
      </c>
      <c r="H9" s="127">
        <v>35000</v>
      </c>
      <c r="I9" s="126">
        <f t="shared" ref="I9:I18" si="0">G9*H9</f>
        <v>875000</v>
      </c>
      <c r="L9" s="16" t="s">
        <v>189</v>
      </c>
      <c r="M9" s="16" t="s">
        <v>154</v>
      </c>
    </row>
    <row r="10" spans="3:14" x14ac:dyDescent="0.35">
      <c r="C10" s="121">
        <v>102</v>
      </c>
      <c r="D10" s="122" t="s">
        <v>170</v>
      </c>
      <c r="E10" s="123" t="s">
        <v>176</v>
      </c>
      <c r="F10" s="124" t="s">
        <v>153</v>
      </c>
      <c r="G10" s="125">
        <v>26</v>
      </c>
      <c r="H10" s="127">
        <v>12000</v>
      </c>
      <c r="I10" s="126">
        <f t="shared" si="0"/>
        <v>312000</v>
      </c>
      <c r="L10" s="16">
        <v>100</v>
      </c>
      <c r="M10" s="16">
        <f t="array" ref="M10:M16">VLOOKUP(L10:L16,C7:I18,6,0)</f>
        <v>52000</v>
      </c>
    </row>
    <row r="11" spans="3:14" x14ac:dyDescent="0.35">
      <c r="C11" s="121">
        <v>103</v>
      </c>
      <c r="D11" s="122" t="s">
        <v>171</v>
      </c>
      <c r="E11" s="123" t="s">
        <v>177</v>
      </c>
      <c r="F11" s="124" t="s">
        <v>151</v>
      </c>
      <c r="G11" s="125">
        <v>15</v>
      </c>
      <c r="H11" s="127">
        <v>500</v>
      </c>
      <c r="I11" s="126">
        <f t="shared" si="0"/>
        <v>7500</v>
      </c>
      <c r="L11" s="16">
        <v>101</v>
      </c>
      <c r="M11" s="16">
        <v>35000</v>
      </c>
    </row>
    <row r="12" spans="3:14" x14ac:dyDescent="0.35">
      <c r="C12" s="121">
        <v>104</v>
      </c>
      <c r="D12" s="122" t="s">
        <v>172</v>
      </c>
      <c r="E12" s="123" t="s">
        <v>178</v>
      </c>
      <c r="F12" s="124" t="s">
        <v>152</v>
      </c>
      <c r="G12" s="125">
        <v>35</v>
      </c>
      <c r="H12" s="127">
        <v>4500</v>
      </c>
      <c r="I12" s="126">
        <f t="shared" si="0"/>
        <v>157500</v>
      </c>
      <c r="L12" s="16">
        <v>102</v>
      </c>
      <c r="M12" s="16">
        <v>12000</v>
      </c>
    </row>
    <row r="13" spans="3:14" x14ac:dyDescent="0.35">
      <c r="C13" s="121">
        <v>105</v>
      </c>
      <c r="D13" s="122" t="s">
        <v>168</v>
      </c>
      <c r="E13" s="123" t="s">
        <v>174</v>
      </c>
      <c r="F13" s="124" t="s">
        <v>180</v>
      </c>
      <c r="G13" s="125">
        <v>45</v>
      </c>
      <c r="H13" s="127">
        <v>32000</v>
      </c>
      <c r="I13" s="126">
        <f t="shared" si="0"/>
        <v>1440000</v>
      </c>
      <c r="L13" s="16">
        <v>103</v>
      </c>
      <c r="M13" s="16">
        <v>500</v>
      </c>
    </row>
    <row r="14" spans="3:14" x14ac:dyDescent="0.35">
      <c r="C14" s="121">
        <v>106</v>
      </c>
      <c r="D14" s="122" t="s">
        <v>169</v>
      </c>
      <c r="E14" s="123" t="s">
        <v>146</v>
      </c>
      <c r="F14" s="124" t="s">
        <v>181</v>
      </c>
      <c r="G14" s="125">
        <v>85</v>
      </c>
      <c r="H14" s="127">
        <v>23000</v>
      </c>
      <c r="I14" s="126">
        <f t="shared" si="0"/>
        <v>1955000</v>
      </c>
      <c r="L14" s="16">
        <v>104</v>
      </c>
      <c r="M14" s="16">
        <v>4500</v>
      </c>
    </row>
    <row r="15" spans="3:14" x14ac:dyDescent="0.35">
      <c r="C15" s="121">
        <v>107</v>
      </c>
      <c r="D15" s="122" t="s">
        <v>170</v>
      </c>
      <c r="E15" s="123" t="s">
        <v>176</v>
      </c>
      <c r="F15" s="124" t="s">
        <v>151</v>
      </c>
      <c r="G15" s="125">
        <v>74</v>
      </c>
      <c r="H15" s="127">
        <v>20000</v>
      </c>
      <c r="I15" s="126">
        <f t="shared" si="0"/>
        <v>1480000</v>
      </c>
      <c r="L15" s="16">
        <v>105</v>
      </c>
      <c r="M15" s="16">
        <v>32000</v>
      </c>
    </row>
    <row r="16" spans="3:14" x14ac:dyDescent="0.35">
      <c r="C16" s="121">
        <v>108</v>
      </c>
      <c r="D16" s="122" t="s">
        <v>171</v>
      </c>
      <c r="E16" s="123" t="s">
        <v>179</v>
      </c>
      <c r="F16" s="124" t="s">
        <v>152</v>
      </c>
      <c r="G16" s="125">
        <v>15</v>
      </c>
      <c r="H16" s="127">
        <v>200</v>
      </c>
      <c r="I16" s="126">
        <f t="shared" si="0"/>
        <v>3000</v>
      </c>
      <c r="L16" s="16">
        <v>106</v>
      </c>
      <c r="M16" s="16">
        <v>23000</v>
      </c>
    </row>
    <row r="17" spans="3:14" x14ac:dyDescent="0.35">
      <c r="C17" s="121">
        <v>109</v>
      </c>
      <c r="D17" s="122" t="s">
        <v>168</v>
      </c>
      <c r="E17" s="123" t="s">
        <v>177</v>
      </c>
      <c r="F17" s="124" t="s">
        <v>151</v>
      </c>
      <c r="G17" s="125">
        <v>24</v>
      </c>
      <c r="H17" s="127">
        <v>22000</v>
      </c>
      <c r="I17" s="126">
        <f t="shared" si="0"/>
        <v>528000</v>
      </c>
    </row>
    <row r="18" spans="3:14" x14ac:dyDescent="0.35">
      <c r="C18" s="121">
        <v>110</v>
      </c>
      <c r="D18" s="122" t="s">
        <v>173</v>
      </c>
      <c r="E18" s="123" t="s">
        <v>179</v>
      </c>
      <c r="F18" s="124" t="s">
        <v>151</v>
      </c>
      <c r="G18" s="125">
        <v>35</v>
      </c>
      <c r="H18" s="127">
        <v>32000</v>
      </c>
      <c r="I18" s="126">
        <f t="shared" si="0"/>
        <v>1120000</v>
      </c>
    </row>
    <row r="28" spans="3:14" x14ac:dyDescent="0.35">
      <c r="C28" s="24" t="s">
        <v>189</v>
      </c>
      <c r="D28" s="24">
        <v>100</v>
      </c>
      <c r="E28" s="24">
        <v>101</v>
      </c>
      <c r="F28" s="24">
        <v>102</v>
      </c>
      <c r="G28" s="24">
        <v>103</v>
      </c>
      <c r="H28" s="24">
        <v>104</v>
      </c>
      <c r="I28" s="24">
        <v>105</v>
      </c>
      <c r="J28" s="24">
        <v>106</v>
      </c>
      <c r="K28" s="24">
        <v>107</v>
      </c>
      <c r="L28" s="24">
        <v>108</v>
      </c>
      <c r="M28" s="24">
        <v>109</v>
      </c>
      <c r="N28" s="24">
        <v>110</v>
      </c>
    </row>
    <row r="29" spans="3:14" x14ac:dyDescent="0.35">
      <c r="C29" s="24" t="s">
        <v>166</v>
      </c>
      <c r="D29" s="24" t="s">
        <v>168</v>
      </c>
      <c r="E29" s="24" t="s">
        <v>169</v>
      </c>
      <c r="F29" s="24" t="s">
        <v>170</v>
      </c>
      <c r="G29" s="24" t="s">
        <v>171</v>
      </c>
      <c r="H29" s="24" t="s">
        <v>172</v>
      </c>
      <c r="I29" s="24" t="s">
        <v>168</v>
      </c>
      <c r="J29" s="24" t="s">
        <v>169</v>
      </c>
      <c r="K29" s="24" t="s">
        <v>170</v>
      </c>
      <c r="L29" s="24" t="s">
        <v>171</v>
      </c>
      <c r="M29" s="24" t="s">
        <v>168</v>
      </c>
      <c r="N29" s="24" t="s">
        <v>173</v>
      </c>
    </row>
    <row r="30" spans="3:14" x14ac:dyDescent="0.35">
      <c r="C30" s="24" t="s">
        <v>167</v>
      </c>
      <c r="D30" s="24" t="s">
        <v>174</v>
      </c>
      <c r="E30" s="24" t="s">
        <v>175</v>
      </c>
      <c r="F30" s="24" t="s">
        <v>176</v>
      </c>
      <c r="G30" s="24" t="s">
        <v>177</v>
      </c>
      <c r="H30" s="24" t="s">
        <v>178</v>
      </c>
      <c r="I30" s="24" t="s">
        <v>174</v>
      </c>
      <c r="J30" s="24" t="s">
        <v>146</v>
      </c>
      <c r="K30" s="24" t="s">
        <v>176</v>
      </c>
      <c r="L30" s="24" t="s">
        <v>179</v>
      </c>
      <c r="M30" s="24" t="s">
        <v>177</v>
      </c>
      <c r="N30" s="24" t="s">
        <v>179</v>
      </c>
    </row>
    <row r="31" spans="3:14" x14ac:dyDescent="0.35">
      <c r="C31" s="24" t="s">
        <v>150</v>
      </c>
      <c r="D31" s="24" t="s">
        <v>151</v>
      </c>
      <c r="E31" s="24" t="s">
        <v>152</v>
      </c>
      <c r="F31" s="24" t="s">
        <v>153</v>
      </c>
      <c r="G31" s="24" t="s">
        <v>151</v>
      </c>
      <c r="H31" s="24" t="s">
        <v>152</v>
      </c>
      <c r="I31" s="24" t="s">
        <v>180</v>
      </c>
      <c r="J31" s="24" t="s">
        <v>181</v>
      </c>
      <c r="K31" s="24" t="s">
        <v>151</v>
      </c>
      <c r="L31" s="24" t="s">
        <v>152</v>
      </c>
      <c r="M31" s="24" t="s">
        <v>151</v>
      </c>
      <c r="N31" s="24" t="s">
        <v>151</v>
      </c>
    </row>
    <row r="32" spans="3:14" x14ac:dyDescent="0.35">
      <c r="C32" s="24" t="s">
        <v>155</v>
      </c>
      <c r="D32" s="24">
        <v>12</v>
      </c>
      <c r="E32" s="24">
        <v>25</v>
      </c>
      <c r="F32" s="24">
        <v>26</v>
      </c>
      <c r="G32" s="24">
        <v>15</v>
      </c>
      <c r="H32" s="24">
        <v>35</v>
      </c>
      <c r="I32" s="24">
        <v>45</v>
      </c>
      <c r="J32" s="24">
        <v>85</v>
      </c>
      <c r="K32" s="24">
        <v>74</v>
      </c>
      <c r="L32" s="24">
        <v>15</v>
      </c>
      <c r="M32" s="24">
        <v>24</v>
      </c>
      <c r="N32" s="24">
        <v>35</v>
      </c>
    </row>
    <row r="33" spans="3:14" x14ac:dyDescent="0.35">
      <c r="C33" s="24" t="s">
        <v>154</v>
      </c>
      <c r="D33" s="24">
        <v>52000</v>
      </c>
      <c r="E33" s="24">
        <v>35000</v>
      </c>
      <c r="F33" s="24">
        <v>12000</v>
      </c>
      <c r="G33" s="24">
        <v>500</v>
      </c>
      <c r="H33" s="24">
        <v>4500</v>
      </c>
      <c r="I33" s="24">
        <v>32000</v>
      </c>
      <c r="J33" s="24">
        <v>23000</v>
      </c>
      <c r="K33" s="24">
        <v>20000</v>
      </c>
      <c r="L33" s="24">
        <v>200</v>
      </c>
      <c r="M33" s="24">
        <v>22000</v>
      </c>
      <c r="N33" s="24">
        <v>32000</v>
      </c>
    </row>
    <row r="34" spans="3:14" x14ac:dyDescent="0.35">
      <c r="C34" s="24" t="s">
        <v>157</v>
      </c>
      <c r="D34" s="24">
        <f t="shared" ref="D34:K34" si="1">D32*D33</f>
        <v>624000</v>
      </c>
      <c r="E34" s="24">
        <f t="shared" si="1"/>
        <v>875000</v>
      </c>
      <c r="F34" s="24">
        <f t="shared" si="1"/>
        <v>312000</v>
      </c>
      <c r="G34" s="24">
        <f t="shared" si="1"/>
        <v>7500</v>
      </c>
      <c r="H34" s="24">
        <f t="shared" si="1"/>
        <v>157500</v>
      </c>
      <c r="I34" s="24">
        <f t="shared" si="1"/>
        <v>1440000</v>
      </c>
      <c r="J34" s="24">
        <f t="shared" si="1"/>
        <v>1955000</v>
      </c>
      <c r="K34" s="24">
        <f t="shared" si="1"/>
        <v>1480000</v>
      </c>
      <c r="L34" s="24">
        <f>L32*L33</f>
        <v>3000</v>
      </c>
      <c r="M34" s="24">
        <f>M32*M33</f>
        <v>528000</v>
      </c>
      <c r="N34" s="24">
        <f>N32*N33</f>
        <v>1120000</v>
      </c>
    </row>
    <row r="39" spans="3:14" x14ac:dyDescent="0.35">
      <c r="D39" s="27" t="s">
        <v>189</v>
      </c>
      <c r="E39" s="16">
        <v>100</v>
      </c>
      <c r="F39" s="16">
        <v>102</v>
      </c>
      <c r="G39" s="16">
        <v>103</v>
      </c>
    </row>
    <row r="40" spans="3:14" x14ac:dyDescent="0.35">
      <c r="D40" s="17" t="s">
        <v>154</v>
      </c>
      <c r="E40" s="16">
        <f t="array" ref="E40:G40">HLOOKUP(E39:G39,C28:N34,6,0)</f>
        <v>52000</v>
      </c>
      <c r="F40" s="16">
        <v>12000</v>
      </c>
      <c r="G40" s="16">
        <v>500</v>
      </c>
    </row>
    <row r="47" spans="3:14" x14ac:dyDescent="0.35">
      <c r="D47" s="153" t="s">
        <v>209</v>
      </c>
      <c r="E47" s="153"/>
      <c r="F47" s="153"/>
      <c r="G47" s="153"/>
      <c r="H47" s="153"/>
      <c r="I47" s="153"/>
    </row>
    <row r="49" spans="4:6" x14ac:dyDescent="0.35">
      <c r="D49" s="28">
        <v>3</v>
      </c>
      <c r="F49" s="29" t="s">
        <v>176</v>
      </c>
    </row>
    <row r="50" spans="4:6" x14ac:dyDescent="0.35">
      <c r="D50" s="28" t="s">
        <v>167</v>
      </c>
      <c r="F50" s="16">
        <f>MATCH(F49,D49:D61,0)</f>
        <v>5</v>
      </c>
    </row>
    <row r="51" spans="4:6" x14ac:dyDescent="0.35">
      <c r="D51" s="28" t="s">
        <v>174</v>
      </c>
    </row>
    <row r="52" spans="4:6" x14ac:dyDescent="0.35">
      <c r="D52" s="28" t="s">
        <v>175</v>
      </c>
    </row>
    <row r="53" spans="4:6" x14ac:dyDescent="0.35">
      <c r="D53" s="28" t="s">
        <v>176</v>
      </c>
    </row>
    <row r="54" spans="4:6" x14ac:dyDescent="0.35">
      <c r="D54" s="28" t="s">
        <v>177</v>
      </c>
    </row>
    <row r="55" spans="4:6" x14ac:dyDescent="0.35">
      <c r="D55" s="28" t="s">
        <v>178</v>
      </c>
    </row>
    <row r="56" spans="4:6" x14ac:dyDescent="0.35">
      <c r="D56" s="28" t="s">
        <v>174</v>
      </c>
    </row>
    <row r="57" spans="4:6" x14ac:dyDescent="0.35">
      <c r="D57" s="28" t="s">
        <v>146</v>
      </c>
    </row>
    <row r="58" spans="4:6" x14ac:dyDescent="0.35">
      <c r="D58" s="28" t="s">
        <v>176</v>
      </c>
    </row>
    <row r="59" spans="4:6" x14ac:dyDescent="0.35">
      <c r="D59" s="28" t="s">
        <v>179</v>
      </c>
    </row>
    <row r="60" spans="4:6" x14ac:dyDescent="0.35">
      <c r="D60" s="28" t="s">
        <v>177</v>
      </c>
    </row>
    <row r="61" spans="4:6" x14ac:dyDescent="0.35">
      <c r="D61" s="28" t="s">
        <v>179</v>
      </c>
    </row>
  </sheetData>
  <mergeCells count="2">
    <mergeCell ref="L7:N7"/>
    <mergeCell ref="D47:I4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FFFF00"/>
  </sheetPr>
  <dimension ref="C12:O55"/>
  <sheetViews>
    <sheetView workbookViewId="0">
      <selection activeCell="D50" sqref="D50:O55"/>
    </sheetView>
  </sheetViews>
  <sheetFormatPr defaultRowHeight="14.5" x14ac:dyDescent="0.35"/>
  <cols>
    <col min="3" max="3" width="11.26953125" bestFit="1" customWidth="1"/>
    <col min="4" max="4" width="15.81640625" bestFit="1" customWidth="1"/>
    <col min="5" max="5" width="7.7265625" bestFit="1" customWidth="1"/>
    <col min="6" max="6" width="5.81640625" bestFit="1" customWidth="1"/>
    <col min="7" max="7" width="7.453125" bestFit="1" customWidth="1"/>
    <col min="8" max="8" width="8" bestFit="1" customWidth="1"/>
    <col min="9" max="9" width="14.1796875" bestFit="1" customWidth="1"/>
    <col min="10" max="10" width="11.54296875" bestFit="1" customWidth="1"/>
    <col min="11" max="11" width="11.453125" bestFit="1" customWidth="1"/>
    <col min="12" max="12" width="6.54296875" bestFit="1" customWidth="1"/>
    <col min="13" max="13" width="8.54296875" bestFit="1" customWidth="1"/>
    <col min="14" max="14" width="15.54296875" bestFit="1" customWidth="1"/>
    <col min="15" max="15" width="21.1796875" bestFit="1" customWidth="1"/>
  </cols>
  <sheetData>
    <row r="12" spans="3:15" ht="15.5" x14ac:dyDescent="0.35">
      <c r="C12" s="23" t="s">
        <v>210</v>
      </c>
      <c r="D12" s="6" t="s">
        <v>86</v>
      </c>
      <c r="E12" s="7" t="s">
        <v>43</v>
      </c>
      <c r="F12" s="7" t="s">
        <v>128</v>
      </c>
      <c r="G12" s="7" t="s">
        <v>129</v>
      </c>
      <c r="H12" s="7" t="s">
        <v>130</v>
      </c>
      <c r="I12" s="7" t="s">
        <v>131</v>
      </c>
      <c r="J12" s="8" t="s">
        <v>132</v>
      </c>
      <c r="K12" s="9" t="s">
        <v>133</v>
      </c>
      <c r="L12" s="10" t="s">
        <v>69</v>
      </c>
      <c r="M12" s="11" t="s">
        <v>134</v>
      </c>
      <c r="N12" s="12" t="s">
        <v>135</v>
      </c>
      <c r="O12" s="13" t="s">
        <v>136</v>
      </c>
    </row>
    <row r="13" spans="3:15" ht="15.5" x14ac:dyDescent="0.35">
      <c r="C13" s="24">
        <v>102</v>
      </c>
      <c r="D13" s="15" t="s">
        <v>111</v>
      </c>
      <c r="E13" s="14">
        <v>39</v>
      </c>
      <c r="F13" s="14">
        <v>71</v>
      </c>
      <c r="G13" s="14">
        <v>55</v>
      </c>
      <c r="H13" s="14">
        <v>44</v>
      </c>
      <c r="I13" s="14">
        <v>57</v>
      </c>
      <c r="J13" s="14">
        <f>SUM(E13:I13)</f>
        <v>266</v>
      </c>
      <c r="K13" s="14">
        <f>J13/5</f>
        <v>53.2</v>
      </c>
      <c r="L13" s="14" t="str">
        <f>IF(J13&gt;260,"A",IF(J13&gt;230,"B","C"))</f>
        <v>A</v>
      </c>
      <c r="M13" s="14">
        <f>AVERAGE(E13:I13)</f>
        <v>53.2</v>
      </c>
      <c r="N13" s="14">
        <f>COUNTIF(E13:I13,"&gt;=33")</f>
        <v>5</v>
      </c>
      <c r="O13" s="14" t="str">
        <f>IF(N13=5,"Pass",IF(N13&gt;=4,"Compartment","Fail"))</f>
        <v>Pass</v>
      </c>
    </row>
    <row r="14" spans="3:15" ht="15.5" x14ac:dyDescent="0.35">
      <c r="C14" s="24">
        <v>103</v>
      </c>
      <c r="D14" s="15" t="s">
        <v>112</v>
      </c>
      <c r="E14" s="14">
        <v>39</v>
      </c>
      <c r="F14" s="14">
        <v>70</v>
      </c>
      <c r="G14" s="14">
        <v>43</v>
      </c>
      <c r="H14" s="14">
        <v>63</v>
      </c>
      <c r="I14" s="14">
        <v>37</v>
      </c>
      <c r="J14" s="14">
        <f t="shared" ref="J14:J32" si="0">SUM(E14:I14)</f>
        <v>252</v>
      </c>
      <c r="K14" s="14">
        <f t="shared" ref="K14:K32" si="1">J14/5</f>
        <v>50.4</v>
      </c>
      <c r="L14" s="14" t="str">
        <f t="shared" ref="L14:L32" si="2">IF(J14&gt;260,"A",IF(J14&gt;230,"B","C"))</f>
        <v>B</v>
      </c>
      <c r="M14" s="14">
        <f t="shared" ref="M14:M32" si="3">AVERAGE(E14:I14)</f>
        <v>50.4</v>
      </c>
      <c r="N14" s="14">
        <f t="shared" ref="N14:N32" si="4">COUNTIF(E14:I14,"&gt;=33")</f>
        <v>5</v>
      </c>
      <c r="O14" s="14" t="str">
        <f t="shared" ref="O14:O32" si="5">IF(N14=5,"Pass",IF(N14&gt;=4,"Compartment","Fail"))</f>
        <v>Pass</v>
      </c>
    </row>
    <row r="15" spans="3:15" ht="15.5" x14ac:dyDescent="0.35">
      <c r="C15" s="24">
        <v>104</v>
      </c>
      <c r="D15" s="15" t="s">
        <v>113</v>
      </c>
      <c r="E15" s="14">
        <v>64</v>
      </c>
      <c r="F15" s="14">
        <v>42</v>
      </c>
      <c r="G15" s="14">
        <v>70</v>
      </c>
      <c r="H15" s="14">
        <v>63</v>
      </c>
      <c r="I15" s="14">
        <v>66</v>
      </c>
      <c r="J15" s="14">
        <f t="shared" si="0"/>
        <v>305</v>
      </c>
      <c r="K15" s="14">
        <f t="shared" si="1"/>
        <v>61</v>
      </c>
      <c r="L15" s="14" t="str">
        <f t="shared" si="2"/>
        <v>A</v>
      </c>
      <c r="M15" s="14">
        <f t="shared" si="3"/>
        <v>61</v>
      </c>
      <c r="N15" s="14">
        <f t="shared" si="4"/>
        <v>5</v>
      </c>
      <c r="O15" s="14" t="str">
        <f t="shared" si="5"/>
        <v>Pass</v>
      </c>
    </row>
    <row r="16" spans="3:15" ht="15.5" x14ac:dyDescent="0.35">
      <c r="C16" s="24">
        <v>105</v>
      </c>
      <c r="D16" s="15" t="s">
        <v>114</v>
      </c>
      <c r="E16" s="14">
        <v>39</v>
      </c>
      <c r="F16" s="14">
        <v>27</v>
      </c>
      <c r="G16" s="14">
        <v>52</v>
      </c>
      <c r="H16" s="14">
        <v>64</v>
      </c>
      <c r="I16" s="14">
        <v>51</v>
      </c>
      <c r="J16" s="14">
        <f t="shared" si="0"/>
        <v>233</v>
      </c>
      <c r="K16" s="14">
        <f t="shared" si="1"/>
        <v>46.6</v>
      </c>
      <c r="L16" s="14" t="str">
        <f t="shared" si="2"/>
        <v>B</v>
      </c>
      <c r="M16" s="14">
        <f t="shared" si="3"/>
        <v>46.6</v>
      </c>
      <c r="N16" s="14">
        <f t="shared" si="4"/>
        <v>4</v>
      </c>
      <c r="O16" s="14" t="str">
        <f t="shared" si="5"/>
        <v>Compartment</v>
      </c>
    </row>
    <row r="17" spans="3:15" ht="15.5" x14ac:dyDescent="0.35">
      <c r="C17" s="24">
        <v>106</v>
      </c>
      <c r="D17" s="15" t="s">
        <v>52</v>
      </c>
      <c r="E17" s="14">
        <v>42</v>
      </c>
      <c r="F17" s="14">
        <v>49</v>
      </c>
      <c r="G17" s="14">
        <v>41</v>
      </c>
      <c r="H17" s="14">
        <v>63</v>
      </c>
      <c r="I17" s="14">
        <v>70</v>
      </c>
      <c r="J17" s="14">
        <f t="shared" si="0"/>
        <v>265</v>
      </c>
      <c r="K17" s="14">
        <f t="shared" si="1"/>
        <v>53</v>
      </c>
      <c r="L17" s="14" t="str">
        <f t="shared" si="2"/>
        <v>A</v>
      </c>
      <c r="M17" s="14">
        <f t="shared" si="3"/>
        <v>53</v>
      </c>
      <c r="N17" s="14">
        <f t="shared" si="4"/>
        <v>5</v>
      </c>
      <c r="O17" s="14" t="str">
        <f t="shared" si="5"/>
        <v>Pass</v>
      </c>
    </row>
    <row r="18" spans="3:15" ht="15.5" x14ac:dyDescent="0.35">
      <c r="C18" s="24">
        <v>107</v>
      </c>
      <c r="D18" s="15" t="s">
        <v>115</v>
      </c>
      <c r="E18" s="14">
        <v>38</v>
      </c>
      <c r="F18" s="14">
        <v>59</v>
      </c>
      <c r="G18" s="14">
        <v>38</v>
      </c>
      <c r="H18" s="14">
        <v>33</v>
      </c>
      <c r="I18" s="14">
        <v>49</v>
      </c>
      <c r="J18" s="14">
        <f t="shared" si="0"/>
        <v>217</v>
      </c>
      <c r="K18" s="14">
        <f t="shared" si="1"/>
        <v>43.4</v>
      </c>
      <c r="L18" s="14" t="str">
        <f t="shared" si="2"/>
        <v>C</v>
      </c>
      <c r="M18" s="14">
        <f t="shared" si="3"/>
        <v>43.4</v>
      </c>
      <c r="N18" s="14">
        <f t="shared" si="4"/>
        <v>5</v>
      </c>
      <c r="O18" s="14" t="str">
        <f t="shared" si="5"/>
        <v>Pass</v>
      </c>
    </row>
    <row r="19" spans="3:15" ht="15.5" x14ac:dyDescent="0.35">
      <c r="C19" s="24">
        <v>108</v>
      </c>
      <c r="D19" s="15" t="s">
        <v>116</v>
      </c>
      <c r="E19" s="14">
        <v>69</v>
      </c>
      <c r="F19" s="14">
        <v>41</v>
      </c>
      <c r="G19" s="14">
        <v>47</v>
      </c>
      <c r="H19" s="14">
        <v>60</v>
      </c>
      <c r="I19" s="14">
        <v>59</v>
      </c>
      <c r="J19" s="14">
        <f t="shared" si="0"/>
        <v>276</v>
      </c>
      <c r="K19" s="14">
        <f t="shared" si="1"/>
        <v>55.2</v>
      </c>
      <c r="L19" s="14" t="str">
        <f t="shared" si="2"/>
        <v>A</v>
      </c>
      <c r="M19" s="14">
        <f t="shared" si="3"/>
        <v>55.2</v>
      </c>
      <c r="N19" s="14">
        <f t="shared" si="4"/>
        <v>5</v>
      </c>
      <c r="O19" s="14" t="str">
        <f t="shared" si="5"/>
        <v>Pass</v>
      </c>
    </row>
    <row r="20" spans="3:15" ht="15.5" x14ac:dyDescent="0.35">
      <c r="C20" s="24">
        <v>109</v>
      </c>
      <c r="D20" s="15" t="s">
        <v>117</v>
      </c>
      <c r="E20" s="14">
        <v>58</v>
      </c>
      <c r="F20" s="14">
        <v>60</v>
      </c>
      <c r="G20" s="14">
        <v>66</v>
      </c>
      <c r="H20" s="14">
        <v>40</v>
      </c>
      <c r="I20" s="14">
        <v>54</v>
      </c>
      <c r="J20" s="14">
        <f t="shared" si="0"/>
        <v>278</v>
      </c>
      <c r="K20" s="14">
        <f t="shared" si="1"/>
        <v>55.6</v>
      </c>
      <c r="L20" s="14" t="str">
        <f t="shared" si="2"/>
        <v>A</v>
      </c>
      <c r="M20" s="14">
        <f t="shared" si="3"/>
        <v>55.6</v>
      </c>
      <c r="N20" s="14">
        <f t="shared" si="4"/>
        <v>5</v>
      </c>
      <c r="O20" s="14" t="str">
        <f t="shared" si="5"/>
        <v>Pass</v>
      </c>
    </row>
    <row r="21" spans="3:15" ht="15.5" x14ac:dyDescent="0.35">
      <c r="C21" s="24">
        <v>110</v>
      </c>
      <c r="D21" s="15" t="s">
        <v>118</v>
      </c>
      <c r="E21" s="14">
        <v>48</v>
      </c>
      <c r="F21" s="14">
        <v>53</v>
      </c>
      <c r="G21" s="14">
        <v>46</v>
      </c>
      <c r="H21" s="14">
        <v>39</v>
      </c>
      <c r="I21" s="14">
        <v>72</v>
      </c>
      <c r="J21" s="14">
        <f t="shared" si="0"/>
        <v>258</v>
      </c>
      <c r="K21" s="14">
        <f t="shared" si="1"/>
        <v>51.6</v>
      </c>
      <c r="L21" s="14" t="str">
        <f t="shared" si="2"/>
        <v>B</v>
      </c>
      <c r="M21" s="14">
        <f t="shared" si="3"/>
        <v>51.6</v>
      </c>
      <c r="N21" s="14">
        <f t="shared" si="4"/>
        <v>5</v>
      </c>
      <c r="O21" s="14" t="str">
        <f t="shared" si="5"/>
        <v>Pass</v>
      </c>
    </row>
    <row r="22" spans="3:15" ht="15.5" x14ac:dyDescent="0.35">
      <c r="C22" s="24">
        <v>111</v>
      </c>
      <c r="D22" s="15" t="s">
        <v>21</v>
      </c>
      <c r="E22" s="14">
        <v>66</v>
      </c>
      <c r="F22" s="14">
        <v>42</v>
      </c>
      <c r="G22" s="14">
        <v>33</v>
      </c>
      <c r="H22" s="14">
        <v>28</v>
      </c>
      <c r="I22" s="14">
        <v>64</v>
      </c>
      <c r="J22" s="14">
        <f t="shared" si="0"/>
        <v>233</v>
      </c>
      <c r="K22" s="14">
        <f t="shared" si="1"/>
        <v>46.6</v>
      </c>
      <c r="L22" s="14" t="str">
        <f t="shared" si="2"/>
        <v>B</v>
      </c>
      <c r="M22" s="14">
        <f t="shared" si="3"/>
        <v>46.6</v>
      </c>
      <c r="N22" s="14">
        <f t="shared" si="4"/>
        <v>4</v>
      </c>
      <c r="O22" s="14" t="str">
        <f t="shared" si="5"/>
        <v>Compartment</v>
      </c>
    </row>
    <row r="23" spans="3:15" ht="15.5" x14ac:dyDescent="0.35">
      <c r="C23" s="24">
        <v>112</v>
      </c>
      <c r="D23" s="15" t="s">
        <v>22</v>
      </c>
      <c r="E23" s="14">
        <v>42</v>
      </c>
      <c r="F23" s="14">
        <v>50</v>
      </c>
      <c r="G23" s="14">
        <v>49</v>
      </c>
      <c r="H23" s="14">
        <v>69</v>
      </c>
      <c r="I23" s="14">
        <v>25</v>
      </c>
      <c r="J23" s="14">
        <f t="shared" si="0"/>
        <v>235</v>
      </c>
      <c r="K23" s="14">
        <f t="shared" si="1"/>
        <v>47</v>
      </c>
      <c r="L23" s="14" t="str">
        <f t="shared" si="2"/>
        <v>B</v>
      </c>
      <c r="M23" s="14">
        <f t="shared" si="3"/>
        <v>47</v>
      </c>
      <c r="N23" s="14">
        <f t="shared" si="4"/>
        <v>4</v>
      </c>
      <c r="O23" s="14" t="str">
        <f t="shared" si="5"/>
        <v>Compartment</v>
      </c>
    </row>
    <row r="24" spans="3:15" ht="15.5" x14ac:dyDescent="0.35">
      <c r="C24" s="24">
        <v>113</v>
      </c>
      <c r="D24" s="15" t="s">
        <v>119</v>
      </c>
      <c r="E24" s="14">
        <v>71</v>
      </c>
      <c r="F24" s="14">
        <v>57</v>
      </c>
      <c r="G24" s="14">
        <v>25</v>
      </c>
      <c r="H24" s="14">
        <v>39</v>
      </c>
      <c r="I24" s="14">
        <v>32</v>
      </c>
      <c r="J24" s="14">
        <f t="shared" si="0"/>
        <v>224</v>
      </c>
      <c r="K24" s="14">
        <f t="shared" si="1"/>
        <v>44.8</v>
      </c>
      <c r="L24" s="14" t="str">
        <f t="shared" si="2"/>
        <v>C</v>
      </c>
      <c r="M24" s="14">
        <f t="shared" si="3"/>
        <v>44.8</v>
      </c>
      <c r="N24" s="14">
        <f t="shared" si="4"/>
        <v>3</v>
      </c>
      <c r="O24" s="14" t="str">
        <f t="shared" si="5"/>
        <v>Fail</v>
      </c>
    </row>
    <row r="25" spans="3:15" ht="15.5" x14ac:dyDescent="0.35">
      <c r="C25" s="24">
        <v>114</v>
      </c>
      <c r="D25" s="15" t="s">
        <v>120</v>
      </c>
      <c r="E25" s="14">
        <v>30</v>
      </c>
      <c r="F25" s="14">
        <v>46</v>
      </c>
      <c r="G25" s="14">
        <v>58</v>
      </c>
      <c r="H25" s="14">
        <v>74</v>
      </c>
      <c r="I25" s="14">
        <v>62</v>
      </c>
      <c r="J25" s="14">
        <f t="shared" si="0"/>
        <v>270</v>
      </c>
      <c r="K25" s="14">
        <f t="shared" si="1"/>
        <v>54</v>
      </c>
      <c r="L25" s="14" t="str">
        <f t="shared" si="2"/>
        <v>A</v>
      </c>
      <c r="M25" s="14">
        <f t="shared" si="3"/>
        <v>54</v>
      </c>
      <c r="N25" s="14">
        <f t="shared" si="4"/>
        <v>4</v>
      </c>
      <c r="O25" s="14" t="str">
        <f t="shared" si="5"/>
        <v>Compartment</v>
      </c>
    </row>
    <row r="26" spans="3:15" ht="15.5" x14ac:dyDescent="0.35">
      <c r="C26" s="24">
        <v>115</v>
      </c>
      <c r="D26" s="15" t="s">
        <v>121</v>
      </c>
      <c r="E26" s="14">
        <v>58</v>
      </c>
      <c r="F26" s="14">
        <v>25</v>
      </c>
      <c r="G26" s="14">
        <v>37</v>
      </c>
      <c r="H26" s="14">
        <v>39</v>
      </c>
      <c r="I26" s="14">
        <v>47</v>
      </c>
      <c r="J26" s="14">
        <f t="shared" si="0"/>
        <v>206</v>
      </c>
      <c r="K26" s="14">
        <f t="shared" si="1"/>
        <v>41.2</v>
      </c>
      <c r="L26" s="14" t="str">
        <f t="shared" si="2"/>
        <v>C</v>
      </c>
      <c r="M26" s="14">
        <f t="shared" si="3"/>
        <v>41.2</v>
      </c>
      <c r="N26" s="14">
        <f t="shared" si="4"/>
        <v>4</v>
      </c>
      <c r="O26" s="14" t="str">
        <f t="shared" si="5"/>
        <v>Compartment</v>
      </c>
    </row>
    <row r="27" spans="3:15" ht="15.5" x14ac:dyDescent="0.35">
      <c r="C27" s="24">
        <v>116</v>
      </c>
      <c r="D27" s="15" t="s">
        <v>122</v>
      </c>
      <c r="E27" s="14">
        <v>46</v>
      </c>
      <c r="F27" s="14">
        <v>41</v>
      </c>
      <c r="G27" s="14">
        <v>35</v>
      </c>
      <c r="H27" s="14">
        <v>37</v>
      </c>
      <c r="I27" s="14">
        <v>48</v>
      </c>
      <c r="J27" s="14">
        <f t="shared" si="0"/>
        <v>207</v>
      </c>
      <c r="K27" s="14">
        <f t="shared" si="1"/>
        <v>41.4</v>
      </c>
      <c r="L27" s="14" t="str">
        <f t="shared" si="2"/>
        <v>C</v>
      </c>
      <c r="M27" s="14">
        <f t="shared" si="3"/>
        <v>41.4</v>
      </c>
      <c r="N27" s="14">
        <f t="shared" si="4"/>
        <v>5</v>
      </c>
      <c r="O27" s="14" t="str">
        <f t="shared" si="5"/>
        <v>Pass</v>
      </c>
    </row>
    <row r="28" spans="3:15" ht="15.5" x14ac:dyDescent="0.35">
      <c r="C28" s="24">
        <v>117</v>
      </c>
      <c r="D28" s="15" t="s">
        <v>123</v>
      </c>
      <c r="E28" s="14">
        <v>51</v>
      </c>
      <c r="F28" s="14">
        <v>31</v>
      </c>
      <c r="G28" s="14">
        <v>22</v>
      </c>
      <c r="H28" s="14">
        <v>67</v>
      </c>
      <c r="I28" s="14">
        <v>74</v>
      </c>
      <c r="J28" s="14">
        <f t="shared" si="0"/>
        <v>245</v>
      </c>
      <c r="K28" s="14">
        <f t="shared" si="1"/>
        <v>49</v>
      </c>
      <c r="L28" s="14" t="str">
        <f t="shared" si="2"/>
        <v>B</v>
      </c>
      <c r="M28" s="14">
        <f t="shared" si="3"/>
        <v>49</v>
      </c>
      <c r="N28" s="14">
        <f t="shared" si="4"/>
        <v>3</v>
      </c>
      <c r="O28" s="14" t="str">
        <f t="shared" si="5"/>
        <v>Fail</v>
      </c>
    </row>
    <row r="29" spans="3:15" ht="15.5" x14ac:dyDescent="0.35">
      <c r="C29" s="24">
        <v>118</v>
      </c>
      <c r="D29" s="15" t="s">
        <v>124</v>
      </c>
      <c r="E29" s="14">
        <v>57</v>
      </c>
      <c r="F29" s="14">
        <v>44</v>
      </c>
      <c r="G29" s="14">
        <v>36</v>
      </c>
      <c r="H29" s="14">
        <v>27</v>
      </c>
      <c r="I29" s="14">
        <v>73</v>
      </c>
      <c r="J29" s="14">
        <f t="shared" si="0"/>
        <v>237</v>
      </c>
      <c r="K29" s="14">
        <f t="shared" si="1"/>
        <v>47.4</v>
      </c>
      <c r="L29" s="14" t="str">
        <f t="shared" si="2"/>
        <v>B</v>
      </c>
      <c r="M29" s="14">
        <f t="shared" si="3"/>
        <v>47.4</v>
      </c>
      <c r="N29" s="14">
        <f t="shared" si="4"/>
        <v>4</v>
      </c>
      <c r="O29" s="14" t="str">
        <f t="shared" si="5"/>
        <v>Compartment</v>
      </c>
    </row>
    <row r="30" spans="3:15" ht="15.5" x14ac:dyDescent="0.35">
      <c r="C30" s="24">
        <v>119</v>
      </c>
      <c r="D30" s="15" t="s">
        <v>125</v>
      </c>
      <c r="E30" s="14">
        <v>68</v>
      </c>
      <c r="F30" s="14">
        <v>35</v>
      </c>
      <c r="G30" s="14">
        <v>62</v>
      </c>
      <c r="H30" s="14">
        <v>50</v>
      </c>
      <c r="I30" s="14">
        <v>52</v>
      </c>
      <c r="J30" s="14">
        <f t="shared" si="0"/>
        <v>267</v>
      </c>
      <c r="K30" s="14">
        <f t="shared" si="1"/>
        <v>53.4</v>
      </c>
      <c r="L30" s="14" t="str">
        <f t="shared" si="2"/>
        <v>A</v>
      </c>
      <c r="M30" s="14">
        <f t="shared" si="3"/>
        <v>53.4</v>
      </c>
      <c r="N30" s="14">
        <f t="shared" si="4"/>
        <v>5</v>
      </c>
      <c r="O30" s="14" t="str">
        <f t="shared" si="5"/>
        <v>Pass</v>
      </c>
    </row>
    <row r="31" spans="3:15" ht="15.5" x14ac:dyDescent="0.35">
      <c r="C31" s="24">
        <v>120</v>
      </c>
      <c r="D31" s="15" t="s">
        <v>126</v>
      </c>
      <c r="E31" s="14">
        <v>43</v>
      </c>
      <c r="F31" s="14">
        <v>46</v>
      </c>
      <c r="G31" s="14">
        <v>39</v>
      </c>
      <c r="H31" s="14">
        <v>64</v>
      </c>
      <c r="I31" s="14">
        <v>59</v>
      </c>
      <c r="J31" s="14">
        <f t="shared" si="0"/>
        <v>251</v>
      </c>
      <c r="K31" s="14">
        <f t="shared" si="1"/>
        <v>50.2</v>
      </c>
      <c r="L31" s="14" t="str">
        <f t="shared" si="2"/>
        <v>B</v>
      </c>
      <c r="M31" s="14">
        <f t="shared" si="3"/>
        <v>50.2</v>
      </c>
      <c r="N31" s="14">
        <f t="shared" si="4"/>
        <v>5</v>
      </c>
      <c r="O31" s="14" t="str">
        <f t="shared" si="5"/>
        <v>Pass</v>
      </c>
    </row>
    <row r="32" spans="3:15" ht="15.5" x14ac:dyDescent="0.35">
      <c r="C32" s="24">
        <v>121</v>
      </c>
      <c r="D32" s="15" t="s">
        <v>127</v>
      </c>
      <c r="E32" s="14">
        <v>28</v>
      </c>
      <c r="F32" s="14">
        <v>64</v>
      </c>
      <c r="G32" s="14">
        <v>34</v>
      </c>
      <c r="H32" s="14">
        <v>48</v>
      </c>
      <c r="I32" s="14">
        <v>54</v>
      </c>
      <c r="J32" s="14">
        <f t="shared" si="0"/>
        <v>228</v>
      </c>
      <c r="K32" s="14">
        <f t="shared" si="1"/>
        <v>45.6</v>
      </c>
      <c r="L32" s="14" t="str">
        <f t="shared" si="2"/>
        <v>C</v>
      </c>
      <c r="M32" s="14">
        <f t="shared" si="3"/>
        <v>45.6</v>
      </c>
      <c r="N32" s="14">
        <f t="shared" si="4"/>
        <v>4</v>
      </c>
      <c r="O32" s="14" t="str">
        <f t="shared" si="5"/>
        <v>Compartment</v>
      </c>
    </row>
    <row r="36" spans="3:15" x14ac:dyDescent="0.35">
      <c r="E36" s="165" t="s">
        <v>211</v>
      </c>
      <c r="F36" s="165"/>
      <c r="G36" s="165"/>
      <c r="H36" s="165"/>
      <c r="I36" s="165"/>
      <c r="J36" s="165"/>
      <c r="K36" s="165"/>
      <c r="L36" s="165"/>
      <c r="M36" s="165"/>
    </row>
    <row r="37" spans="3:15" x14ac:dyDescent="0.35">
      <c r="E37" s="165"/>
      <c r="F37" s="165"/>
      <c r="G37" s="165"/>
      <c r="H37" s="165"/>
      <c r="I37" s="165"/>
      <c r="J37" s="165"/>
      <c r="K37" s="165"/>
      <c r="L37" s="165"/>
      <c r="M37" s="165"/>
    </row>
    <row r="38" spans="3:15" x14ac:dyDescent="0.35">
      <c r="E38" s="165"/>
      <c r="F38" s="165"/>
      <c r="G38" s="165"/>
      <c r="H38" s="165"/>
      <c r="I38" s="165"/>
      <c r="J38" s="165"/>
      <c r="K38" s="165"/>
      <c r="L38" s="165"/>
      <c r="M38" s="165"/>
    </row>
    <row r="39" spans="3:15" ht="15.5" x14ac:dyDescent="0.35">
      <c r="C39" s="23" t="s">
        <v>210</v>
      </c>
      <c r="D39" s="6" t="s">
        <v>86</v>
      </c>
      <c r="E39" s="7" t="s">
        <v>43</v>
      </c>
      <c r="F39" s="7" t="s">
        <v>128</v>
      </c>
      <c r="G39" s="7" t="s">
        <v>129</v>
      </c>
      <c r="H39" s="7" t="s">
        <v>130</v>
      </c>
      <c r="I39" s="7" t="s">
        <v>131</v>
      </c>
      <c r="J39" s="8" t="s">
        <v>132</v>
      </c>
      <c r="K39" s="9" t="s">
        <v>133</v>
      </c>
      <c r="L39" s="10" t="s">
        <v>69</v>
      </c>
      <c r="M39" s="11" t="s">
        <v>134</v>
      </c>
      <c r="N39" s="12" t="s">
        <v>135</v>
      </c>
      <c r="O39" s="13" t="s">
        <v>136</v>
      </c>
    </row>
    <row r="40" spans="3:15" x14ac:dyDescent="0.35">
      <c r="C40" s="16">
        <v>105</v>
      </c>
      <c r="D40" s="16" t="str">
        <f>VLOOKUP($C$40:$C$45,$C$12:$O$32,MATCH($D$39:$O$39,$C$12:$O$12,0),0)</f>
        <v>Manoj</v>
      </c>
      <c r="E40" s="16">
        <f t="shared" ref="D40:O45" si="6">VLOOKUP($C$40:$C$45,$C$12:$O$32,MATCH($D$39:$O$39,$C$12:$O$12,0),0)</f>
        <v>39</v>
      </c>
      <c r="F40" s="16">
        <f t="shared" si="6"/>
        <v>27</v>
      </c>
      <c r="G40" s="16">
        <f t="shared" si="6"/>
        <v>52</v>
      </c>
      <c r="H40" s="16">
        <f t="shared" si="6"/>
        <v>64</v>
      </c>
      <c r="I40" s="16">
        <f t="shared" si="6"/>
        <v>51</v>
      </c>
      <c r="J40" s="16">
        <f t="shared" si="6"/>
        <v>233</v>
      </c>
      <c r="K40" s="16">
        <f t="shared" si="6"/>
        <v>46.6</v>
      </c>
      <c r="L40" s="16" t="str">
        <f t="shared" si="6"/>
        <v>B</v>
      </c>
      <c r="M40" s="16">
        <f t="shared" si="6"/>
        <v>46.6</v>
      </c>
      <c r="N40" s="16">
        <f t="shared" si="6"/>
        <v>4</v>
      </c>
      <c r="O40" s="16" t="str">
        <f t="shared" si="6"/>
        <v>Compartment</v>
      </c>
    </row>
    <row r="41" spans="3:15" x14ac:dyDescent="0.35">
      <c r="C41" s="16">
        <v>104</v>
      </c>
      <c r="D41" s="16" t="str">
        <f t="shared" si="6"/>
        <v>Vishal</v>
      </c>
      <c r="E41" s="16">
        <f t="shared" si="6"/>
        <v>64</v>
      </c>
      <c r="F41" s="16">
        <f t="shared" si="6"/>
        <v>42</v>
      </c>
      <c r="G41" s="16">
        <f t="shared" si="6"/>
        <v>70</v>
      </c>
      <c r="H41" s="16">
        <f t="shared" si="6"/>
        <v>63</v>
      </c>
      <c r="I41" s="16">
        <f t="shared" si="6"/>
        <v>66</v>
      </c>
      <c r="J41" s="16">
        <f t="shared" si="6"/>
        <v>305</v>
      </c>
      <c r="K41" s="16">
        <f t="shared" si="6"/>
        <v>61</v>
      </c>
      <c r="L41" s="16" t="str">
        <f t="shared" si="6"/>
        <v>A</v>
      </c>
      <c r="M41" s="16">
        <f t="shared" si="6"/>
        <v>61</v>
      </c>
      <c r="N41" s="16">
        <f t="shared" si="6"/>
        <v>5</v>
      </c>
      <c r="O41" s="16" t="str">
        <f t="shared" si="6"/>
        <v>Pass</v>
      </c>
    </row>
    <row r="42" spans="3:15" x14ac:dyDescent="0.35">
      <c r="C42" s="16">
        <v>111</v>
      </c>
      <c r="D42" s="16" t="str">
        <f t="shared" si="6"/>
        <v>Chota Bhem</v>
      </c>
      <c r="E42" s="16">
        <f t="shared" si="6"/>
        <v>66</v>
      </c>
      <c r="F42" s="16">
        <f t="shared" si="6"/>
        <v>42</v>
      </c>
      <c r="G42" s="16">
        <f t="shared" si="6"/>
        <v>33</v>
      </c>
      <c r="H42" s="16">
        <f t="shared" si="6"/>
        <v>28</v>
      </c>
      <c r="I42" s="16">
        <f t="shared" si="6"/>
        <v>64</v>
      </c>
      <c r="J42" s="16">
        <f t="shared" si="6"/>
        <v>233</v>
      </c>
      <c r="K42" s="16">
        <f t="shared" si="6"/>
        <v>46.6</v>
      </c>
      <c r="L42" s="16" t="str">
        <f t="shared" si="6"/>
        <v>B</v>
      </c>
      <c r="M42" s="16">
        <f t="shared" si="6"/>
        <v>46.6</v>
      </c>
      <c r="N42" s="16">
        <f t="shared" si="6"/>
        <v>4</v>
      </c>
      <c r="O42" s="16" t="str">
        <f t="shared" si="6"/>
        <v>Compartment</v>
      </c>
    </row>
    <row r="43" spans="3:15" x14ac:dyDescent="0.35">
      <c r="C43" s="16">
        <v>118</v>
      </c>
      <c r="D43" s="16" t="str">
        <f t="shared" si="6"/>
        <v>Nobita</v>
      </c>
      <c r="E43" s="16">
        <f t="shared" si="6"/>
        <v>57</v>
      </c>
      <c r="F43" s="16">
        <f t="shared" si="6"/>
        <v>44</v>
      </c>
      <c r="G43" s="16">
        <f t="shared" si="6"/>
        <v>36</v>
      </c>
      <c r="H43" s="16">
        <f t="shared" si="6"/>
        <v>27</v>
      </c>
      <c r="I43" s="16">
        <f t="shared" si="6"/>
        <v>73</v>
      </c>
      <c r="J43" s="16">
        <f t="shared" si="6"/>
        <v>237</v>
      </c>
      <c r="K43" s="16">
        <f t="shared" si="6"/>
        <v>47.4</v>
      </c>
      <c r="L43" s="16" t="str">
        <f t="shared" si="6"/>
        <v>B</v>
      </c>
      <c r="M43" s="16">
        <f t="shared" si="6"/>
        <v>47.4</v>
      </c>
      <c r="N43" s="16">
        <f t="shared" si="6"/>
        <v>4</v>
      </c>
      <c r="O43" s="16" t="str">
        <f t="shared" si="6"/>
        <v>Compartment</v>
      </c>
    </row>
    <row r="44" spans="3:15" x14ac:dyDescent="0.35">
      <c r="C44" s="16">
        <v>112</v>
      </c>
      <c r="D44" s="16" t="str">
        <f t="shared" si="6"/>
        <v>Chutki</v>
      </c>
      <c r="E44" s="16">
        <f t="shared" si="6"/>
        <v>42</v>
      </c>
      <c r="F44" s="16">
        <f t="shared" si="6"/>
        <v>50</v>
      </c>
      <c r="G44" s="16">
        <f t="shared" si="6"/>
        <v>49</v>
      </c>
      <c r="H44" s="16">
        <f t="shared" si="6"/>
        <v>69</v>
      </c>
      <c r="I44" s="16">
        <f t="shared" si="6"/>
        <v>25</v>
      </c>
      <c r="J44" s="16">
        <f t="shared" si="6"/>
        <v>235</v>
      </c>
      <c r="K44" s="16">
        <f t="shared" si="6"/>
        <v>47</v>
      </c>
      <c r="L44" s="16" t="str">
        <f t="shared" si="6"/>
        <v>B</v>
      </c>
      <c r="M44" s="16">
        <f t="shared" si="6"/>
        <v>47</v>
      </c>
      <c r="N44" s="16">
        <f t="shared" si="6"/>
        <v>4</v>
      </c>
      <c r="O44" s="16" t="str">
        <f t="shared" si="6"/>
        <v>Compartment</v>
      </c>
    </row>
    <row r="45" spans="3:15" x14ac:dyDescent="0.35">
      <c r="C45" s="16">
        <v>115</v>
      </c>
      <c r="D45" s="16" t="str">
        <f t="shared" si="6"/>
        <v>Bholu</v>
      </c>
      <c r="E45" s="16">
        <f t="shared" si="6"/>
        <v>58</v>
      </c>
      <c r="F45" s="16">
        <f t="shared" si="6"/>
        <v>25</v>
      </c>
      <c r="G45" s="16">
        <f t="shared" si="6"/>
        <v>37</v>
      </c>
      <c r="H45" s="16">
        <f t="shared" si="6"/>
        <v>39</v>
      </c>
      <c r="I45" s="16">
        <f t="shared" si="6"/>
        <v>47</v>
      </c>
      <c r="J45" s="16">
        <f t="shared" si="6"/>
        <v>206</v>
      </c>
      <c r="K45" s="16">
        <f t="shared" si="6"/>
        <v>41.2</v>
      </c>
      <c r="L45" s="16" t="str">
        <f t="shared" si="6"/>
        <v>C</v>
      </c>
      <c r="M45" s="16">
        <f t="shared" si="6"/>
        <v>41.2</v>
      </c>
      <c r="N45" s="16">
        <f t="shared" si="6"/>
        <v>4</v>
      </c>
      <c r="O45" s="16" t="str">
        <f t="shared" si="6"/>
        <v>Compartment</v>
      </c>
    </row>
    <row r="49" spans="3:15" ht="15.5" x14ac:dyDescent="0.35">
      <c r="C49" s="23" t="s">
        <v>210</v>
      </c>
      <c r="D49" s="6" t="s">
        <v>86</v>
      </c>
      <c r="E49" s="7" t="s">
        <v>43</v>
      </c>
      <c r="F49" s="7" t="s">
        <v>128</v>
      </c>
      <c r="G49" s="7" t="s">
        <v>129</v>
      </c>
      <c r="H49" s="7" t="s">
        <v>130</v>
      </c>
      <c r="I49" s="7" t="s">
        <v>131</v>
      </c>
      <c r="J49" s="8" t="s">
        <v>132</v>
      </c>
      <c r="K49" s="9" t="s">
        <v>133</v>
      </c>
      <c r="L49" s="10" t="s">
        <v>69</v>
      </c>
      <c r="M49" s="11" t="s">
        <v>134</v>
      </c>
      <c r="N49" s="12" t="s">
        <v>135</v>
      </c>
      <c r="O49" s="13" t="s">
        <v>136</v>
      </c>
    </row>
    <row r="50" spans="3:15" x14ac:dyDescent="0.35">
      <c r="C50" s="16">
        <v>105</v>
      </c>
      <c r="D50" t="str">
        <f t="array" ref="D50:O50">VLOOKUP(C50,C39:O45,MATCH($D$49:$O$49,$C$39:$O$39,0),0)</f>
        <v>Manoj</v>
      </c>
      <c r="E50">
        <v>39</v>
      </c>
      <c r="F50">
        <v>27</v>
      </c>
      <c r="G50">
        <v>52</v>
      </c>
      <c r="H50">
        <v>64</v>
      </c>
      <c r="I50">
        <v>51</v>
      </c>
      <c r="J50">
        <v>233</v>
      </c>
      <c r="K50">
        <v>46.6</v>
      </c>
      <c r="L50" t="str">
        <v>B</v>
      </c>
      <c r="M50">
        <v>46.6</v>
      </c>
      <c r="N50">
        <v>4</v>
      </c>
      <c r="O50" t="str">
        <v>Compartment</v>
      </c>
    </row>
    <row r="51" spans="3:15" x14ac:dyDescent="0.35">
      <c r="C51" s="16">
        <v>104</v>
      </c>
      <c r="D51" t="str">
        <f t="array" ref="D51:O51">VLOOKUP(C51,C40:O46,MATCH($D$49:$O$49,$C$39:$O$39,0),0)</f>
        <v>Vishal</v>
      </c>
      <c r="E51">
        <v>64</v>
      </c>
      <c r="F51">
        <v>42</v>
      </c>
      <c r="G51">
        <v>70</v>
      </c>
      <c r="H51">
        <v>63</v>
      </c>
      <c r="I51">
        <v>66</v>
      </c>
      <c r="J51">
        <v>305</v>
      </c>
      <c r="K51">
        <v>61</v>
      </c>
      <c r="L51" t="str">
        <v>A</v>
      </c>
      <c r="M51">
        <v>61</v>
      </c>
      <c r="N51">
        <v>5</v>
      </c>
      <c r="O51" t="str">
        <v>Pass</v>
      </c>
    </row>
    <row r="52" spans="3:15" x14ac:dyDescent="0.35">
      <c r="C52" s="16">
        <v>111</v>
      </c>
      <c r="D52" t="str">
        <f t="array" ref="D52:O52">VLOOKUP(C52,C41:O47,MATCH($D$49:$O$49,$C$39:$O$39,0),0)</f>
        <v>Chota Bhem</v>
      </c>
      <c r="E52">
        <v>66</v>
      </c>
      <c r="F52">
        <v>42</v>
      </c>
      <c r="G52">
        <v>33</v>
      </c>
      <c r="H52">
        <v>28</v>
      </c>
      <c r="I52">
        <v>64</v>
      </c>
      <c r="J52">
        <v>233</v>
      </c>
      <c r="K52">
        <v>46.6</v>
      </c>
      <c r="L52" t="str">
        <v>B</v>
      </c>
      <c r="M52">
        <v>46.6</v>
      </c>
      <c r="N52">
        <v>4</v>
      </c>
      <c r="O52" t="str">
        <v>Compartment</v>
      </c>
    </row>
    <row r="53" spans="3:15" x14ac:dyDescent="0.35">
      <c r="C53" s="16">
        <v>118</v>
      </c>
      <c r="D53" t="str">
        <f t="array" ref="D53:O53">VLOOKUP(C53,C42:O48,MATCH($D$49:$O$49,$C$39:$O$39,0),0)</f>
        <v>Nobita</v>
      </c>
      <c r="E53">
        <v>57</v>
      </c>
      <c r="F53">
        <v>44</v>
      </c>
      <c r="G53">
        <v>36</v>
      </c>
      <c r="H53">
        <v>27</v>
      </c>
      <c r="I53">
        <v>73</v>
      </c>
      <c r="J53">
        <v>237</v>
      </c>
      <c r="K53">
        <v>47.4</v>
      </c>
      <c r="L53" t="str">
        <v>B</v>
      </c>
      <c r="M53">
        <v>47.4</v>
      </c>
      <c r="N53">
        <v>4</v>
      </c>
      <c r="O53" t="str">
        <v>Compartment</v>
      </c>
    </row>
    <row r="54" spans="3:15" x14ac:dyDescent="0.35">
      <c r="C54" s="16">
        <v>112</v>
      </c>
      <c r="D54" t="str">
        <f t="array" ref="D54:O54">VLOOKUP(C54,C43:O49,MATCH($D$49:$O$49,$C$39:$O$39,0),0)</f>
        <v>Chutki</v>
      </c>
      <c r="E54">
        <v>42</v>
      </c>
      <c r="F54">
        <v>50</v>
      </c>
      <c r="G54">
        <v>49</v>
      </c>
      <c r="H54">
        <v>69</v>
      </c>
      <c r="I54">
        <v>25</v>
      </c>
      <c r="J54">
        <v>235</v>
      </c>
      <c r="K54">
        <v>47</v>
      </c>
      <c r="L54" t="str">
        <v>B</v>
      </c>
      <c r="M54">
        <v>47</v>
      </c>
      <c r="N54">
        <v>4</v>
      </c>
      <c r="O54" t="str">
        <v>Compartment</v>
      </c>
    </row>
    <row r="55" spans="3:15" x14ac:dyDescent="0.35">
      <c r="C55" s="16">
        <v>115</v>
      </c>
      <c r="D55" t="str">
        <f t="array" ref="D55:O55">VLOOKUP(C55,C44:O50,MATCH($D$49:$O$49,$C$39:$O$39,0),0)</f>
        <v>Bholu</v>
      </c>
      <c r="E55">
        <v>58</v>
      </c>
      <c r="F55">
        <v>25</v>
      </c>
      <c r="G55">
        <v>37</v>
      </c>
      <c r="H55">
        <v>39</v>
      </c>
      <c r="I55">
        <v>47</v>
      </c>
      <c r="J55">
        <v>206</v>
      </c>
      <c r="K55">
        <v>41.2</v>
      </c>
      <c r="L55" t="str">
        <v>C</v>
      </c>
      <c r="M55">
        <v>41.2</v>
      </c>
      <c r="N55">
        <v>4</v>
      </c>
      <c r="O55" t="str">
        <v>Compartment</v>
      </c>
    </row>
  </sheetData>
  <mergeCells count="1">
    <mergeCell ref="E36:M38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FF0000"/>
  </sheetPr>
  <dimension ref="C8:K22"/>
  <sheetViews>
    <sheetView workbookViewId="0">
      <selection activeCell="I12" sqref="I12"/>
    </sheetView>
  </sheetViews>
  <sheetFormatPr defaultRowHeight="14.5" x14ac:dyDescent="0.35"/>
  <cols>
    <col min="3" max="3" width="10.453125" bestFit="1" customWidth="1"/>
    <col min="4" max="4" width="10.26953125" bestFit="1" customWidth="1"/>
    <col min="5" max="5" width="8.453125" customWidth="1"/>
    <col min="6" max="6" width="9.81640625" bestFit="1" customWidth="1"/>
    <col min="7" max="7" width="19.7265625" bestFit="1" customWidth="1"/>
  </cols>
  <sheetData>
    <row r="8" spans="3:11" ht="21" x14ac:dyDescent="0.5">
      <c r="J8" s="166" t="s">
        <v>226</v>
      </c>
      <c r="K8" s="166"/>
    </row>
    <row r="9" spans="3:11" ht="23.5" x14ac:dyDescent="0.55000000000000004">
      <c r="C9" s="30" t="s">
        <v>219</v>
      </c>
      <c r="D9" s="30" t="s">
        <v>222</v>
      </c>
      <c r="E9" s="30" t="s">
        <v>223</v>
      </c>
      <c r="F9" s="30" t="s">
        <v>69</v>
      </c>
      <c r="G9" s="30" t="s">
        <v>225</v>
      </c>
      <c r="J9" s="16" t="s">
        <v>227</v>
      </c>
      <c r="K9" s="26">
        <v>0.08</v>
      </c>
    </row>
    <row r="10" spans="3:11" x14ac:dyDescent="0.35">
      <c r="C10" s="16" t="s">
        <v>19</v>
      </c>
      <c r="D10" s="16">
        <v>22000</v>
      </c>
      <c r="E10" s="16">
        <v>20362</v>
      </c>
      <c r="F10" s="25" t="str">
        <f>IF(E10&gt;=40000,"A",IF(E10&gt;=30000,"B",IF(E10&gt;=25000,"C",IF(E10&gt;=22000,"D","E"))))</f>
        <v>E</v>
      </c>
      <c r="G10" s="25" t="str">
        <f>IF(E10&gt;=D10,VLOOKUP(F10,$J$9:$K$13,2,0)*E10,"INCOMPLETE TARGET")</f>
        <v>INCOMPLETE TARGET</v>
      </c>
      <c r="J10" s="16" t="s">
        <v>228</v>
      </c>
      <c r="K10" s="26">
        <v>0.05</v>
      </c>
    </row>
    <row r="11" spans="3:11" x14ac:dyDescent="0.35">
      <c r="C11" s="16" t="s">
        <v>220</v>
      </c>
      <c r="D11" s="16">
        <v>22000</v>
      </c>
      <c r="E11" s="16">
        <v>47517</v>
      </c>
      <c r="F11" s="25" t="str">
        <f t="shared" ref="F11:F22" si="0">IF(E11&gt;=40000,"A",IF(E11&gt;=30000,"B",IF(E11&gt;=25000,"C",IF(E11&gt;=22000,"D","E"))))</f>
        <v>A</v>
      </c>
      <c r="G11" s="25">
        <f t="shared" ref="G11:G22" si="1">IF(E11&gt;=D11,VLOOKUP(F11,$J$9:$K$13,2,0)*E11,"INCOMPLETE TARGET")</f>
        <v>3801.36</v>
      </c>
      <c r="J11" s="16" t="s">
        <v>229</v>
      </c>
      <c r="K11" s="26">
        <v>0.03</v>
      </c>
    </row>
    <row r="12" spans="3:11" x14ac:dyDescent="0.35">
      <c r="C12" s="16" t="s">
        <v>221</v>
      </c>
      <c r="D12" s="16">
        <v>22000</v>
      </c>
      <c r="E12" s="16">
        <v>36580</v>
      </c>
      <c r="F12" s="25" t="str">
        <f t="shared" si="0"/>
        <v>B</v>
      </c>
      <c r="G12" s="25">
        <f t="shared" si="1"/>
        <v>1829</v>
      </c>
      <c r="J12" s="16" t="s">
        <v>230</v>
      </c>
      <c r="K12" s="26">
        <v>0.02</v>
      </c>
    </row>
    <row r="13" spans="3:11" x14ac:dyDescent="0.35">
      <c r="C13" s="16" t="s">
        <v>115</v>
      </c>
      <c r="D13" s="16">
        <v>22000</v>
      </c>
      <c r="E13" s="16">
        <v>23770</v>
      </c>
      <c r="F13" s="25" t="str">
        <f t="shared" si="0"/>
        <v>D</v>
      </c>
      <c r="G13" s="25">
        <f t="shared" si="1"/>
        <v>475.40000000000003</v>
      </c>
      <c r="J13" s="16" t="s">
        <v>465</v>
      </c>
      <c r="K13" s="26">
        <v>0</v>
      </c>
    </row>
    <row r="14" spans="3:11" x14ac:dyDescent="0.35">
      <c r="C14" s="16" t="s">
        <v>52</v>
      </c>
      <c r="D14" s="16">
        <v>22000</v>
      </c>
      <c r="E14" s="16">
        <v>26742</v>
      </c>
      <c r="F14" s="25" t="str">
        <f t="shared" si="0"/>
        <v>C</v>
      </c>
      <c r="G14" s="25">
        <f t="shared" si="1"/>
        <v>802.26</v>
      </c>
    </row>
    <row r="15" spans="3:11" x14ac:dyDescent="0.35">
      <c r="C15" s="16" t="s">
        <v>224</v>
      </c>
      <c r="D15" s="16">
        <v>22000</v>
      </c>
      <c r="E15" s="16">
        <v>22639</v>
      </c>
      <c r="F15" s="25" t="str">
        <f t="shared" si="0"/>
        <v>D</v>
      </c>
      <c r="G15" s="25">
        <f t="shared" si="1"/>
        <v>452.78000000000003</v>
      </c>
    </row>
    <row r="16" spans="3:11" x14ac:dyDescent="0.35">
      <c r="C16" s="16" t="s">
        <v>458</v>
      </c>
      <c r="D16" s="16">
        <v>22000</v>
      </c>
      <c r="E16" s="16">
        <v>26925</v>
      </c>
      <c r="F16" s="25" t="str">
        <f t="shared" si="0"/>
        <v>C</v>
      </c>
      <c r="G16" s="25">
        <f t="shared" si="1"/>
        <v>807.75</v>
      </c>
    </row>
    <row r="17" spans="3:7" x14ac:dyDescent="0.35">
      <c r="C17" s="16" t="s">
        <v>459</v>
      </c>
      <c r="D17" s="16">
        <v>22000</v>
      </c>
      <c r="E17" s="16">
        <v>57340</v>
      </c>
      <c r="F17" s="25" t="str">
        <f t="shared" si="0"/>
        <v>A</v>
      </c>
      <c r="G17" s="25">
        <f t="shared" si="1"/>
        <v>4587.2</v>
      </c>
    </row>
    <row r="18" spans="3:7" x14ac:dyDescent="0.35">
      <c r="C18" s="16" t="s">
        <v>460</v>
      </c>
      <c r="D18" s="16">
        <v>22000</v>
      </c>
      <c r="E18" s="16">
        <v>35236</v>
      </c>
      <c r="F18" s="25" t="str">
        <f t="shared" si="0"/>
        <v>B</v>
      </c>
      <c r="G18" s="25">
        <f t="shared" si="1"/>
        <v>1761.8000000000002</v>
      </c>
    </row>
    <row r="19" spans="3:7" x14ac:dyDescent="0.35">
      <c r="C19" s="16" t="s">
        <v>461</v>
      </c>
      <c r="D19" s="16">
        <v>22000</v>
      </c>
      <c r="E19" s="16">
        <v>25136</v>
      </c>
      <c r="F19" s="25" t="str">
        <f t="shared" si="0"/>
        <v>C</v>
      </c>
      <c r="G19" s="25">
        <f t="shared" si="1"/>
        <v>754.07999999999993</v>
      </c>
    </row>
    <row r="20" spans="3:7" x14ac:dyDescent="0.35">
      <c r="C20" s="16" t="s">
        <v>462</v>
      </c>
      <c r="D20" s="16">
        <v>22000</v>
      </c>
      <c r="E20" s="16">
        <v>37440</v>
      </c>
      <c r="F20" s="25" t="str">
        <f t="shared" si="0"/>
        <v>B</v>
      </c>
      <c r="G20" s="25">
        <f t="shared" si="1"/>
        <v>1872</v>
      </c>
    </row>
    <row r="21" spans="3:7" x14ac:dyDescent="0.35">
      <c r="C21" s="16" t="s">
        <v>463</v>
      </c>
      <c r="D21" s="16">
        <v>22000</v>
      </c>
      <c r="E21" s="16">
        <v>32981</v>
      </c>
      <c r="F21" s="25" t="str">
        <f t="shared" si="0"/>
        <v>B</v>
      </c>
      <c r="G21" s="25">
        <f t="shared" si="1"/>
        <v>1649.0500000000002</v>
      </c>
    </row>
    <row r="22" spans="3:7" x14ac:dyDescent="0.35">
      <c r="C22" s="16" t="s">
        <v>464</v>
      </c>
      <c r="D22" s="16">
        <v>22000</v>
      </c>
      <c r="E22" s="16">
        <v>21382</v>
      </c>
      <c r="F22" s="25" t="str">
        <f t="shared" si="0"/>
        <v>E</v>
      </c>
      <c r="G22" s="25" t="str">
        <f t="shared" si="1"/>
        <v>INCOMPLETE TARGET</v>
      </c>
    </row>
  </sheetData>
  <mergeCells count="1">
    <mergeCell ref="J8:K8"/>
  </mergeCells>
  <phoneticPr fontId="29" type="noConversion"/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rgb="FF00B050"/>
  </sheetPr>
  <dimension ref="B1:H15"/>
  <sheetViews>
    <sheetView workbookViewId="0">
      <selection activeCell="E16" sqref="E16"/>
    </sheetView>
  </sheetViews>
  <sheetFormatPr defaultRowHeight="14.5" x14ac:dyDescent="0.35"/>
  <sheetData>
    <row r="1" spans="2:8" x14ac:dyDescent="0.35">
      <c r="B1" s="142" t="s">
        <v>234</v>
      </c>
      <c r="C1" s="142"/>
      <c r="D1" s="142"/>
      <c r="E1" s="142"/>
      <c r="F1" s="142"/>
      <c r="G1" s="142"/>
      <c r="H1" s="142"/>
    </row>
    <row r="2" spans="2:8" x14ac:dyDescent="0.35">
      <c r="B2" s="142"/>
      <c r="C2" s="142"/>
      <c r="D2" s="142"/>
      <c r="E2" s="142"/>
      <c r="F2" s="142"/>
      <c r="G2" s="142"/>
      <c r="H2" s="142"/>
    </row>
    <row r="3" spans="2:8" x14ac:dyDescent="0.35">
      <c r="B3" s="142"/>
      <c r="C3" s="142"/>
      <c r="D3" s="142"/>
      <c r="E3" s="142"/>
      <c r="F3" s="142"/>
      <c r="G3" s="142"/>
      <c r="H3" s="142"/>
    </row>
    <row r="4" spans="2:8" x14ac:dyDescent="0.35">
      <c r="B4" s="142"/>
      <c r="C4" s="142"/>
      <c r="D4" s="142"/>
      <c r="E4" s="142"/>
      <c r="F4" s="142"/>
      <c r="G4" s="142"/>
      <c r="H4" s="142"/>
    </row>
    <row r="5" spans="2:8" x14ac:dyDescent="0.35">
      <c r="D5" s="33" t="s">
        <v>219</v>
      </c>
      <c r="E5" s="33" t="s">
        <v>189</v>
      </c>
      <c r="F5" s="33" t="s">
        <v>233</v>
      </c>
    </row>
    <row r="6" spans="2:8" x14ac:dyDescent="0.35">
      <c r="D6" s="24" t="s">
        <v>19</v>
      </c>
      <c r="E6" s="24">
        <v>100</v>
      </c>
      <c r="F6" s="24">
        <v>25500</v>
      </c>
    </row>
    <row r="7" spans="2:8" x14ac:dyDescent="0.35">
      <c r="D7" s="24" t="s">
        <v>115</v>
      </c>
      <c r="E7" s="24">
        <v>101</v>
      </c>
      <c r="F7" s="24">
        <v>26000</v>
      </c>
    </row>
    <row r="8" spans="2:8" x14ac:dyDescent="0.35">
      <c r="D8" s="24" t="s">
        <v>221</v>
      </c>
      <c r="E8" s="24">
        <v>102</v>
      </c>
      <c r="F8" s="24">
        <v>24000</v>
      </c>
    </row>
    <row r="9" spans="2:8" x14ac:dyDescent="0.35">
      <c r="D9" s="24" t="s">
        <v>114</v>
      </c>
      <c r="E9" s="24">
        <v>103</v>
      </c>
      <c r="F9" s="24">
        <v>20000</v>
      </c>
    </row>
    <row r="10" spans="2:8" x14ac:dyDescent="0.35">
      <c r="D10" s="24" t="s">
        <v>113</v>
      </c>
      <c r="E10" s="24">
        <v>104</v>
      </c>
      <c r="F10" s="24">
        <v>21000</v>
      </c>
    </row>
    <row r="11" spans="2:8" x14ac:dyDescent="0.35">
      <c r="D11" s="24" t="s">
        <v>116</v>
      </c>
      <c r="E11" s="24">
        <v>105</v>
      </c>
      <c r="F11" s="24">
        <v>23000</v>
      </c>
    </row>
    <row r="14" spans="2:8" x14ac:dyDescent="0.35">
      <c r="D14" s="24" t="s">
        <v>86</v>
      </c>
      <c r="E14" s="24" t="s">
        <v>233</v>
      </c>
    </row>
    <row r="15" spans="2:8" x14ac:dyDescent="0.35">
      <c r="D15" s="24" t="s">
        <v>19</v>
      </c>
      <c r="E15" s="32">
        <f>IF(ISTEXT(D15),VLOOKUP(D15,D5:F11,3,0),VLOOKUP(D15,E5:F11,2,0))</f>
        <v>25500</v>
      </c>
    </row>
  </sheetData>
  <autoFilter ref="D5:F5" xr:uid="{00000000-0009-0000-0000-00000A000000}"/>
  <mergeCells count="1">
    <mergeCell ref="B1:H4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002060"/>
  </sheetPr>
  <dimension ref="D6:I17"/>
  <sheetViews>
    <sheetView workbookViewId="0"/>
  </sheetViews>
  <sheetFormatPr defaultRowHeight="14.5" x14ac:dyDescent="0.35"/>
  <cols>
    <col min="3" max="3" width="15.54296875" bestFit="1" customWidth="1"/>
    <col min="4" max="4" width="17.81640625" bestFit="1" customWidth="1"/>
    <col min="5" max="5" width="15.54296875" bestFit="1" customWidth="1"/>
    <col min="6" max="6" width="17.81640625" bestFit="1" customWidth="1"/>
    <col min="7" max="7" width="8.81640625" bestFit="1" customWidth="1"/>
    <col min="8" max="8" width="14.26953125" bestFit="1" customWidth="1"/>
    <col min="9" max="9" width="8" bestFit="1" customWidth="1"/>
  </cols>
  <sheetData>
    <row r="6" spans="4:9" ht="15" thickBot="1" x14ac:dyDescent="0.4"/>
    <row r="7" spans="4:9" ht="15" thickBot="1" x14ac:dyDescent="0.4">
      <c r="D7" s="167" t="s">
        <v>368</v>
      </c>
      <c r="E7" s="168"/>
      <c r="F7" s="168"/>
      <c r="G7" s="169"/>
    </row>
    <row r="8" spans="4:9" ht="15" thickBot="1" x14ac:dyDescent="0.4"/>
    <row r="9" spans="4:9" ht="23.5" x14ac:dyDescent="0.35">
      <c r="E9" s="106" t="s">
        <v>219</v>
      </c>
      <c r="F9" s="107" t="s">
        <v>231</v>
      </c>
      <c r="G9" s="107" t="s">
        <v>367</v>
      </c>
      <c r="H9" s="107" t="s">
        <v>365</v>
      </c>
      <c r="I9" s="108" t="s">
        <v>366</v>
      </c>
    </row>
    <row r="10" spans="4:9" ht="23.5" x14ac:dyDescent="0.35">
      <c r="E10" s="109" t="s">
        <v>19</v>
      </c>
      <c r="F10" s="103">
        <v>36594</v>
      </c>
      <c r="G10" s="104">
        <f ca="1">DATEDIF(F10,TODAY(),"y")</f>
        <v>26</v>
      </c>
      <c r="H10" s="105">
        <f ca="1">DATEDIF(F10,TODAY(),"ym")</f>
        <v>1</v>
      </c>
      <c r="I10" s="110">
        <f ca="1">DATEDIF(F10,TODAY(),"md")</f>
        <v>4</v>
      </c>
    </row>
    <row r="11" spans="4:9" ht="23.5" x14ac:dyDescent="0.35">
      <c r="E11" s="109" t="s">
        <v>115</v>
      </c>
      <c r="F11" s="103">
        <v>36985</v>
      </c>
      <c r="G11" s="104">
        <f t="shared" ref="G11:G17" ca="1" si="0">DATEDIF(F11,TODAY(),"y")</f>
        <v>25</v>
      </c>
      <c r="H11" s="105">
        <f t="shared" ref="H11:H17" ca="1" si="1">DATEDIF(F11,TODAY(),"ym")</f>
        <v>0</v>
      </c>
      <c r="I11" s="110">
        <f t="shared" ref="I11:I17" ca="1" si="2">DATEDIF(F11,TODAY(),"md")</f>
        <v>9</v>
      </c>
    </row>
    <row r="12" spans="4:9" ht="23.5" x14ac:dyDescent="0.35">
      <c r="E12" s="109" t="s">
        <v>114</v>
      </c>
      <c r="F12" s="103">
        <v>35857</v>
      </c>
      <c r="G12" s="104">
        <f t="shared" ca="1" si="0"/>
        <v>28</v>
      </c>
      <c r="H12" s="105">
        <f t="shared" ca="1" si="1"/>
        <v>1</v>
      </c>
      <c r="I12" s="110">
        <f t="shared" ca="1" si="2"/>
        <v>10</v>
      </c>
    </row>
    <row r="13" spans="4:9" ht="23.5" x14ac:dyDescent="0.35">
      <c r="E13" s="109" t="s">
        <v>221</v>
      </c>
      <c r="F13" s="103">
        <v>35190</v>
      </c>
      <c r="G13" s="104">
        <f t="shared" ca="1" si="0"/>
        <v>29</v>
      </c>
      <c r="H13" s="105">
        <f t="shared" ca="1" si="1"/>
        <v>11</v>
      </c>
      <c r="I13" s="110">
        <f t="shared" ca="1" si="2"/>
        <v>8</v>
      </c>
    </row>
    <row r="14" spans="4:9" ht="23.5" x14ac:dyDescent="0.35">
      <c r="E14" s="109" t="s">
        <v>116</v>
      </c>
      <c r="F14" s="103">
        <v>35618</v>
      </c>
      <c r="G14" s="104">
        <f t="shared" ca="1" si="0"/>
        <v>28</v>
      </c>
      <c r="H14" s="105">
        <f t="shared" ca="1" si="1"/>
        <v>9</v>
      </c>
      <c r="I14" s="110">
        <f t="shared" ca="1" si="2"/>
        <v>6</v>
      </c>
    </row>
    <row r="15" spans="4:9" ht="23.5" x14ac:dyDescent="0.35">
      <c r="E15" s="109" t="s">
        <v>232</v>
      </c>
      <c r="F15" s="103">
        <v>36588</v>
      </c>
      <c r="G15" s="104">
        <f t="shared" ca="1" si="0"/>
        <v>26</v>
      </c>
      <c r="H15" s="105">
        <f t="shared" ca="1" si="1"/>
        <v>1</v>
      </c>
      <c r="I15" s="110">
        <f t="shared" ca="1" si="2"/>
        <v>10</v>
      </c>
    </row>
    <row r="16" spans="4:9" ht="23.5" x14ac:dyDescent="0.35">
      <c r="E16" s="109" t="s">
        <v>117</v>
      </c>
      <c r="F16" s="103">
        <v>33919</v>
      </c>
      <c r="G16" s="104">
        <f t="shared" ca="1" si="0"/>
        <v>33</v>
      </c>
      <c r="H16" s="105">
        <f t="shared" ca="1" si="1"/>
        <v>5</v>
      </c>
      <c r="I16" s="110">
        <f t="shared" ca="1" si="2"/>
        <v>2</v>
      </c>
    </row>
    <row r="17" spans="5:9" ht="24" thickBot="1" x14ac:dyDescent="0.4">
      <c r="E17" s="111" t="s">
        <v>52</v>
      </c>
      <c r="F17" s="112">
        <v>36287</v>
      </c>
      <c r="G17" s="113">
        <f t="shared" ca="1" si="0"/>
        <v>26</v>
      </c>
      <c r="H17" s="114">
        <f t="shared" ca="1" si="1"/>
        <v>11</v>
      </c>
      <c r="I17" s="115">
        <f t="shared" ca="1" si="2"/>
        <v>6</v>
      </c>
    </row>
  </sheetData>
  <mergeCells count="1">
    <mergeCell ref="D7:G7"/>
  </mergeCells>
  <conditionalFormatting sqref="E9:I9">
    <cfRule type="colorScale" priority="4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0000"/>
  </sheetPr>
  <dimension ref="A1:AY28"/>
  <sheetViews>
    <sheetView topLeftCell="X9" zoomScale="70" zoomScaleNormal="70" workbookViewId="0">
      <selection activeCell="AY10" sqref="AY10"/>
    </sheetView>
  </sheetViews>
  <sheetFormatPr defaultRowHeight="14.5" x14ac:dyDescent="0.35"/>
  <cols>
    <col min="1" max="1" width="6" bestFit="1" customWidth="1"/>
    <col min="2" max="2" width="15" bestFit="1" customWidth="1"/>
    <col min="3" max="3" width="14.81640625" bestFit="1" customWidth="1"/>
    <col min="4" max="4" width="5.1796875" bestFit="1" customWidth="1"/>
    <col min="5" max="5" width="14.26953125" bestFit="1" customWidth="1"/>
    <col min="6" max="6" width="7.1796875" customWidth="1"/>
    <col min="7" max="37" width="3.81640625" customWidth="1"/>
    <col min="38" max="38" width="9.7265625" bestFit="1" customWidth="1"/>
    <col min="39" max="40" width="9.7265625" customWidth="1"/>
    <col min="41" max="41" width="14.26953125" bestFit="1" customWidth="1"/>
    <col min="42" max="51" width="12.54296875" customWidth="1"/>
    <col min="56" max="56" width="18.54296875" customWidth="1"/>
  </cols>
  <sheetData>
    <row r="1" spans="1:51" ht="110.25" customHeight="1" x14ac:dyDescent="0.35"/>
    <row r="2" spans="1:51" x14ac:dyDescent="0.35">
      <c r="B2" s="35" t="s">
        <v>270</v>
      </c>
      <c r="C2" s="38" t="s">
        <v>310</v>
      </c>
      <c r="F2" s="170">
        <f>DATEVALUE("1"&amp;C2&amp;C3)</f>
        <v>44927</v>
      </c>
      <c r="G2" s="170"/>
      <c r="H2" s="23" t="s">
        <v>271</v>
      </c>
      <c r="I2" s="171">
        <f>EOMONTH(F2,0)</f>
        <v>44957</v>
      </c>
      <c r="J2" s="171"/>
      <c r="K2" s="171"/>
    </row>
    <row r="3" spans="1:51" x14ac:dyDescent="0.35">
      <c r="B3" s="36" t="s">
        <v>269</v>
      </c>
      <c r="C3" s="38">
        <v>2023</v>
      </c>
    </row>
    <row r="7" spans="1:51" x14ac:dyDescent="0.35">
      <c r="G7" s="40">
        <f>F2</f>
        <v>44927</v>
      </c>
      <c r="H7" s="40">
        <f t="shared" ref="H7:AK7" si="0">IF(G7&lt;$I$2,G7+1,"")</f>
        <v>44928</v>
      </c>
      <c r="I7" s="40">
        <f t="shared" si="0"/>
        <v>44929</v>
      </c>
      <c r="J7" s="40">
        <f t="shared" si="0"/>
        <v>44930</v>
      </c>
      <c r="K7" s="40">
        <f t="shared" si="0"/>
        <v>44931</v>
      </c>
      <c r="L7" s="40">
        <f t="shared" si="0"/>
        <v>44932</v>
      </c>
      <c r="M7" s="40">
        <f t="shared" si="0"/>
        <v>44933</v>
      </c>
      <c r="N7" s="40">
        <f t="shared" si="0"/>
        <v>44934</v>
      </c>
      <c r="O7" s="40">
        <f t="shared" si="0"/>
        <v>44935</v>
      </c>
      <c r="P7" s="40">
        <f t="shared" si="0"/>
        <v>44936</v>
      </c>
      <c r="Q7" s="40">
        <f t="shared" si="0"/>
        <v>44937</v>
      </c>
      <c r="R7" s="40">
        <f t="shared" si="0"/>
        <v>44938</v>
      </c>
      <c r="S7" s="40">
        <f t="shared" si="0"/>
        <v>44939</v>
      </c>
      <c r="T7" s="40">
        <f t="shared" si="0"/>
        <v>44940</v>
      </c>
      <c r="U7" s="40">
        <f t="shared" si="0"/>
        <v>44941</v>
      </c>
      <c r="V7" s="40">
        <f t="shared" si="0"/>
        <v>44942</v>
      </c>
      <c r="W7" s="40">
        <f t="shared" si="0"/>
        <v>44943</v>
      </c>
      <c r="X7" s="40">
        <f t="shared" si="0"/>
        <v>44944</v>
      </c>
      <c r="Y7" s="40">
        <f t="shared" si="0"/>
        <v>44945</v>
      </c>
      <c r="Z7" s="40">
        <f t="shared" si="0"/>
        <v>44946</v>
      </c>
      <c r="AA7" s="40">
        <f t="shared" si="0"/>
        <v>44947</v>
      </c>
      <c r="AB7" s="40">
        <f t="shared" si="0"/>
        <v>44948</v>
      </c>
      <c r="AC7" s="40">
        <f t="shared" si="0"/>
        <v>44949</v>
      </c>
      <c r="AD7" s="40">
        <f t="shared" si="0"/>
        <v>44950</v>
      </c>
      <c r="AE7" s="40">
        <f t="shared" si="0"/>
        <v>44951</v>
      </c>
      <c r="AF7" s="40">
        <f t="shared" si="0"/>
        <v>44952</v>
      </c>
      <c r="AG7" s="40">
        <f t="shared" si="0"/>
        <v>44953</v>
      </c>
      <c r="AH7" s="40">
        <f t="shared" si="0"/>
        <v>44954</v>
      </c>
      <c r="AI7" s="40">
        <f t="shared" si="0"/>
        <v>44955</v>
      </c>
      <c r="AJ7" s="40">
        <f t="shared" si="0"/>
        <v>44956</v>
      </c>
      <c r="AK7" s="40">
        <f t="shared" si="0"/>
        <v>44957</v>
      </c>
      <c r="AL7" s="34"/>
      <c r="AM7" s="34"/>
      <c r="AN7" s="46">
        <v>1</v>
      </c>
      <c r="AO7" s="46">
        <v>2</v>
      </c>
      <c r="AP7" s="46">
        <v>3</v>
      </c>
      <c r="AQ7" s="46">
        <v>4</v>
      </c>
      <c r="AR7" s="46">
        <v>5</v>
      </c>
      <c r="AS7" s="46">
        <v>6</v>
      </c>
      <c r="AT7" s="46">
        <v>7</v>
      </c>
      <c r="AU7" s="46">
        <v>8</v>
      </c>
      <c r="AV7" s="46">
        <v>9</v>
      </c>
      <c r="AW7" s="46">
        <v>10</v>
      </c>
      <c r="AX7" s="46">
        <v>11</v>
      </c>
      <c r="AY7" s="46">
        <v>12</v>
      </c>
    </row>
    <row r="8" spans="1:51" ht="43.5" x14ac:dyDescent="0.35">
      <c r="A8" s="29" t="s">
        <v>110</v>
      </c>
      <c r="B8" s="29" t="s">
        <v>86</v>
      </c>
      <c r="C8" s="29" t="s">
        <v>235</v>
      </c>
      <c r="D8" s="29" t="s">
        <v>236</v>
      </c>
      <c r="E8" s="29" t="s">
        <v>237</v>
      </c>
      <c r="F8" s="39" t="s">
        <v>238</v>
      </c>
      <c r="G8" s="47" t="str">
        <f>TEXT(G7,"ddd")</f>
        <v>Sun</v>
      </c>
      <c r="H8" s="47" t="str">
        <f t="shared" ref="H8:AK8" si="1">TEXT(H7,"ddd")</f>
        <v>Mon</v>
      </c>
      <c r="I8" s="47" t="str">
        <f t="shared" si="1"/>
        <v>Tue</v>
      </c>
      <c r="J8" s="47" t="str">
        <f t="shared" si="1"/>
        <v>Wed</v>
      </c>
      <c r="K8" s="47" t="str">
        <f t="shared" si="1"/>
        <v>Thu</v>
      </c>
      <c r="L8" s="47" t="str">
        <f t="shared" si="1"/>
        <v>Fri</v>
      </c>
      <c r="M8" s="47" t="str">
        <f t="shared" si="1"/>
        <v>Sat</v>
      </c>
      <c r="N8" s="47" t="str">
        <f t="shared" si="1"/>
        <v>Sun</v>
      </c>
      <c r="O8" s="47" t="str">
        <f t="shared" si="1"/>
        <v>Mon</v>
      </c>
      <c r="P8" s="47" t="str">
        <f t="shared" si="1"/>
        <v>Tue</v>
      </c>
      <c r="Q8" s="47" t="str">
        <f t="shared" si="1"/>
        <v>Wed</v>
      </c>
      <c r="R8" s="47" t="str">
        <f t="shared" si="1"/>
        <v>Thu</v>
      </c>
      <c r="S8" s="47" t="str">
        <f t="shared" si="1"/>
        <v>Fri</v>
      </c>
      <c r="T8" s="47" t="str">
        <f t="shared" si="1"/>
        <v>Sat</v>
      </c>
      <c r="U8" s="47" t="str">
        <f t="shared" si="1"/>
        <v>Sun</v>
      </c>
      <c r="V8" s="47" t="str">
        <f t="shared" si="1"/>
        <v>Mon</v>
      </c>
      <c r="W8" s="47" t="str">
        <f t="shared" si="1"/>
        <v>Tue</v>
      </c>
      <c r="X8" s="47" t="str">
        <f t="shared" si="1"/>
        <v>Wed</v>
      </c>
      <c r="Y8" s="47" t="str">
        <f t="shared" si="1"/>
        <v>Thu</v>
      </c>
      <c r="Z8" s="47" t="str">
        <f t="shared" si="1"/>
        <v>Fri</v>
      </c>
      <c r="AA8" s="47" t="str">
        <f t="shared" si="1"/>
        <v>Sat</v>
      </c>
      <c r="AB8" s="47" t="str">
        <f t="shared" si="1"/>
        <v>Sun</v>
      </c>
      <c r="AC8" s="47" t="str">
        <f t="shared" si="1"/>
        <v>Mon</v>
      </c>
      <c r="AD8" s="47" t="str">
        <f t="shared" si="1"/>
        <v>Tue</v>
      </c>
      <c r="AE8" s="47" t="str">
        <f t="shared" si="1"/>
        <v>Wed</v>
      </c>
      <c r="AF8" s="47" t="str">
        <f t="shared" si="1"/>
        <v>Thu</v>
      </c>
      <c r="AG8" s="47" t="str">
        <f t="shared" si="1"/>
        <v>Fri</v>
      </c>
      <c r="AH8" s="47" t="str">
        <f t="shared" si="1"/>
        <v>Sat</v>
      </c>
      <c r="AI8" s="47" t="str">
        <f t="shared" si="1"/>
        <v>Sun</v>
      </c>
      <c r="AJ8" s="47" t="str">
        <f t="shared" si="1"/>
        <v>Mon</v>
      </c>
      <c r="AK8" s="47" t="str">
        <f t="shared" si="1"/>
        <v>Tue</v>
      </c>
      <c r="AN8" s="85" t="s">
        <v>466</v>
      </c>
      <c r="AO8" s="85" t="s">
        <v>467</v>
      </c>
      <c r="AP8" s="85" t="s">
        <v>301</v>
      </c>
      <c r="AQ8" s="85" t="s">
        <v>302</v>
      </c>
      <c r="AR8" s="86" t="s">
        <v>303</v>
      </c>
      <c r="AS8" s="86" t="s">
        <v>304</v>
      </c>
      <c r="AT8" s="86" t="s">
        <v>305</v>
      </c>
      <c r="AU8" s="85" t="s">
        <v>306</v>
      </c>
      <c r="AV8" s="86" t="s">
        <v>307</v>
      </c>
      <c r="AW8" s="85" t="s">
        <v>311</v>
      </c>
      <c r="AX8" s="86" t="s">
        <v>157</v>
      </c>
      <c r="AY8" s="86" t="s">
        <v>308</v>
      </c>
    </row>
    <row r="9" spans="1:51" x14ac:dyDescent="0.35">
      <c r="A9" s="31">
        <v>1</v>
      </c>
      <c r="B9" s="32" t="s">
        <v>239</v>
      </c>
      <c r="C9" s="23" t="s">
        <v>250</v>
      </c>
      <c r="D9" s="37" t="s">
        <v>268</v>
      </c>
      <c r="E9" s="41">
        <v>4386</v>
      </c>
      <c r="F9" s="42">
        <v>1</v>
      </c>
      <c r="G9" s="28"/>
      <c r="H9" s="28" t="s">
        <v>309</v>
      </c>
      <c r="I9" s="28" t="s">
        <v>309</v>
      </c>
      <c r="J9" s="28" t="s">
        <v>309</v>
      </c>
      <c r="K9" s="28" t="s">
        <v>227</v>
      </c>
      <c r="L9" s="28" t="s">
        <v>309</v>
      </c>
      <c r="M9" s="28" t="s">
        <v>227</v>
      </c>
      <c r="N9" s="28"/>
      <c r="O9" s="28" t="s">
        <v>309</v>
      </c>
      <c r="P9" s="28" t="s">
        <v>309</v>
      </c>
      <c r="Q9" s="28" t="s">
        <v>309</v>
      </c>
      <c r="R9" s="28" t="s">
        <v>309</v>
      </c>
      <c r="S9" s="28" t="s">
        <v>309</v>
      </c>
      <c r="T9" s="28" t="s">
        <v>309</v>
      </c>
      <c r="U9" s="28"/>
      <c r="V9" s="28" t="s">
        <v>227</v>
      </c>
      <c r="W9" s="28" t="s">
        <v>309</v>
      </c>
      <c r="X9" s="28" t="s">
        <v>309</v>
      </c>
      <c r="Y9" s="28" t="s">
        <v>309</v>
      </c>
      <c r="Z9" s="28" t="s">
        <v>309</v>
      </c>
      <c r="AA9" s="28" t="s">
        <v>309</v>
      </c>
      <c r="AB9" s="28"/>
      <c r="AC9" s="28" t="s">
        <v>309</v>
      </c>
      <c r="AD9" s="28" t="s">
        <v>309</v>
      </c>
      <c r="AE9" s="28" t="s">
        <v>309</v>
      </c>
      <c r="AF9" s="28" t="s">
        <v>309</v>
      </c>
      <c r="AG9" s="28" t="s">
        <v>309</v>
      </c>
      <c r="AH9" s="28" t="s">
        <v>309</v>
      </c>
      <c r="AI9" s="28"/>
      <c r="AJ9" s="28" t="s">
        <v>309</v>
      </c>
      <c r="AK9" s="28" t="s">
        <v>309</v>
      </c>
      <c r="AN9" s="16" t="s">
        <v>468</v>
      </c>
      <c r="AO9" s="16" t="s">
        <v>250</v>
      </c>
      <c r="AP9" s="28">
        <f>COUNTIF(G9:AK9,"P")</f>
        <v>23</v>
      </c>
      <c r="AQ9" s="28">
        <f>COUNTIF(G9:AK9,"A")</f>
        <v>3</v>
      </c>
      <c r="AR9" s="28">
        <f>DAY($I$2)</f>
        <v>31</v>
      </c>
      <c r="AS9" s="28">
        <f>IF(AP9=0,0,COUNTIF($G$8:$AK$8,"sun")+AP9)</f>
        <v>28</v>
      </c>
      <c r="AT9" s="28">
        <v>25600</v>
      </c>
      <c r="AU9" s="28">
        <f>AT9*5%</f>
        <v>1280</v>
      </c>
      <c r="AV9" s="84">
        <f>AT9/AR9</f>
        <v>825.80645161290317</v>
      </c>
      <c r="AW9" s="28">
        <f>AT9*10%</f>
        <v>2560</v>
      </c>
      <c r="AX9" s="84">
        <f>AV9*AS9</f>
        <v>23122.580645161288</v>
      </c>
      <c r="AY9" s="84">
        <f>IF(AP9=0,0,AX9+AW9-AU9)</f>
        <v>24402.580645161288</v>
      </c>
    </row>
    <row r="10" spans="1:51" x14ac:dyDescent="0.35">
      <c r="A10" s="31">
        <v>2</v>
      </c>
      <c r="B10" s="32" t="s">
        <v>111</v>
      </c>
      <c r="C10" s="23" t="s">
        <v>249</v>
      </c>
      <c r="D10" s="37" t="s">
        <v>268</v>
      </c>
      <c r="E10" s="41">
        <v>4365</v>
      </c>
      <c r="F10" s="42">
        <v>2</v>
      </c>
      <c r="G10" s="28"/>
      <c r="H10" s="28" t="s">
        <v>309</v>
      </c>
      <c r="I10" s="28" t="s">
        <v>309</v>
      </c>
      <c r="J10" s="28" t="s">
        <v>227</v>
      </c>
      <c r="K10" s="28" t="s">
        <v>309</v>
      </c>
      <c r="L10" s="28" t="s">
        <v>309</v>
      </c>
      <c r="M10" s="28" t="s">
        <v>309</v>
      </c>
      <c r="N10" s="28"/>
      <c r="O10" s="28" t="s">
        <v>309</v>
      </c>
      <c r="P10" s="28" t="s">
        <v>309</v>
      </c>
      <c r="Q10" s="28" t="s">
        <v>227</v>
      </c>
      <c r="R10" s="28" t="s">
        <v>309</v>
      </c>
      <c r="S10" s="28" t="s">
        <v>309</v>
      </c>
      <c r="T10" s="28" t="s">
        <v>309</v>
      </c>
      <c r="U10" s="28"/>
      <c r="V10" s="28" t="s">
        <v>309</v>
      </c>
      <c r="W10" s="28" t="s">
        <v>309</v>
      </c>
      <c r="X10" s="28" t="s">
        <v>227</v>
      </c>
      <c r="Y10" s="28" t="s">
        <v>309</v>
      </c>
      <c r="Z10" s="28" t="s">
        <v>309</v>
      </c>
      <c r="AA10" s="28" t="s">
        <v>309</v>
      </c>
      <c r="AB10" s="28"/>
      <c r="AC10" s="28" t="s">
        <v>309</v>
      </c>
      <c r="AD10" s="28" t="s">
        <v>309</v>
      </c>
      <c r="AE10" s="28" t="s">
        <v>227</v>
      </c>
      <c r="AF10" s="28" t="s">
        <v>309</v>
      </c>
      <c r="AG10" s="28" t="s">
        <v>309</v>
      </c>
      <c r="AH10" s="28" t="s">
        <v>309</v>
      </c>
      <c r="AI10" s="28"/>
      <c r="AJ10" s="28" t="s">
        <v>309</v>
      </c>
      <c r="AK10" s="28" t="s">
        <v>309</v>
      </c>
      <c r="AN10" s="16" t="s">
        <v>469</v>
      </c>
      <c r="AO10" s="16" t="s">
        <v>249</v>
      </c>
      <c r="AP10" s="28">
        <f>COUNTIF(G10:AK10,"P")</f>
        <v>22</v>
      </c>
      <c r="AQ10" s="28">
        <f>COUNTIF(G10:AK10,"A")</f>
        <v>4</v>
      </c>
      <c r="AR10" s="28">
        <f t="shared" ref="AR10:AR28" si="2">DAY($I$2)</f>
        <v>31</v>
      </c>
      <c r="AS10" s="28">
        <f t="shared" ref="AS10:AS28" si="3">IF(AP10=0,0,COUNTIF($G$8:$AK$8,"sun")+AP10)</f>
        <v>27</v>
      </c>
      <c r="AT10" s="28">
        <v>43100</v>
      </c>
      <c r="AU10" s="28">
        <f t="shared" ref="AU10:AU28" si="4">AT10*5%</f>
        <v>2155</v>
      </c>
      <c r="AV10" s="84">
        <f t="shared" ref="AV10:AV28" si="5">AT10/AR10</f>
        <v>1390.3225806451612</v>
      </c>
      <c r="AW10" s="28">
        <f t="shared" ref="AW10:AW28" si="6">AT10*10%</f>
        <v>4310</v>
      </c>
      <c r="AX10" s="84">
        <f t="shared" ref="AX10:AX28" si="7">AV10*AS10</f>
        <v>37538.709677419356</v>
      </c>
      <c r="AY10" s="84">
        <f t="shared" ref="AY10:AY28" si="8">IF(AP10=0,0,AX10+AW10-AU10)</f>
        <v>39693.709677419356</v>
      </c>
    </row>
    <row r="11" spans="1:51" x14ac:dyDescent="0.35">
      <c r="A11" s="31">
        <v>3</v>
      </c>
      <c r="B11" s="32" t="s">
        <v>118</v>
      </c>
      <c r="C11" s="23" t="s">
        <v>240</v>
      </c>
      <c r="D11" s="37" t="s">
        <v>268</v>
      </c>
      <c r="E11" s="41">
        <v>4633</v>
      </c>
      <c r="F11" s="42">
        <v>3</v>
      </c>
      <c r="G11" s="28"/>
      <c r="H11" s="28" t="s">
        <v>309</v>
      </c>
      <c r="I11" s="28" t="s">
        <v>309</v>
      </c>
      <c r="J11" s="28" t="s">
        <v>309</v>
      </c>
      <c r="K11" s="28" t="s">
        <v>309</v>
      </c>
      <c r="L11" s="28" t="s">
        <v>309</v>
      </c>
      <c r="M11" s="28" t="s">
        <v>309</v>
      </c>
      <c r="N11" s="28"/>
      <c r="O11" s="28" t="s">
        <v>309</v>
      </c>
      <c r="P11" s="28" t="s">
        <v>309</v>
      </c>
      <c r="Q11" s="28" t="s">
        <v>309</v>
      </c>
      <c r="R11" s="28" t="s">
        <v>309</v>
      </c>
      <c r="S11" s="28" t="s">
        <v>309</v>
      </c>
      <c r="T11" s="28" t="s">
        <v>309</v>
      </c>
      <c r="U11" s="28"/>
      <c r="V11" s="28" t="s">
        <v>309</v>
      </c>
      <c r="W11" s="28" t="s">
        <v>309</v>
      </c>
      <c r="X11" s="28" t="s">
        <v>309</v>
      </c>
      <c r="Y11" s="28" t="s">
        <v>309</v>
      </c>
      <c r="Z11" s="28" t="s">
        <v>309</v>
      </c>
      <c r="AA11" s="28" t="s">
        <v>309</v>
      </c>
      <c r="AB11" s="28"/>
      <c r="AC11" s="28" t="s">
        <v>309</v>
      </c>
      <c r="AD11" s="28" t="s">
        <v>309</v>
      </c>
      <c r="AE11" s="28" t="s">
        <v>309</v>
      </c>
      <c r="AF11" s="28" t="s">
        <v>309</v>
      </c>
      <c r="AG11" s="28" t="s">
        <v>309</v>
      </c>
      <c r="AH11" s="28" t="s">
        <v>309</v>
      </c>
      <c r="AI11" s="28"/>
      <c r="AJ11" s="28" t="s">
        <v>227</v>
      </c>
      <c r="AK11" s="28" t="s">
        <v>309</v>
      </c>
      <c r="AN11" s="16" t="s">
        <v>470</v>
      </c>
      <c r="AO11" s="16" t="s">
        <v>240</v>
      </c>
      <c r="AP11" s="28">
        <f>COUNTIF(G11:AK11,"P")</f>
        <v>25</v>
      </c>
      <c r="AQ11" s="28">
        <f>COUNTIF(G11:AK11,"A")</f>
        <v>1</v>
      </c>
      <c r="AR11" s="28">
        <f t="shared" si="2"/>
        <v>31</v>
      </c>
      <c r="AS11" s="28">
        <f t="shared" si="3"/>
        <v>30</v>
      </c>
      <c r="AT11" s="28">
        <v>37200</v>
      </c>
      <c r="AU11" s="28">
        <f t="shared" si="4"/>
        <v>1860</v>
      </c>
      <c r="AV11" s="84">
        <f t="shared" si="5"/>
        <v>1200</v>
      </c>
      <c r="AW11" s="28">
        <f t="shared" si="6"/>
        <v>3720</v>
      </c>
      <c r="AX11" s="84">
        <f t="shared" si="7"/>
        <v>36000</v>
      </c>
      <c r="AY11" s="84">
        <f t="shared" si="8"/>
        <v>37860</v>
      </c>
    </row>
    <row r="12" spans="1:51" x14ac:dyDescent="0.35">
      <c r="A12" s="31">
        <v>4</v>
      </c>
      <c r="B12" s="32" t="s">
        <v>52</v>
      </c>
      <c r="C12" s="23" t="s">
        <v>251</v>
      </c>
      <c r="D12" s="37" t="s">
        <v>268</v>
      </c>
      <c r="E12" s="41">
        <v>4654</v>
      </c>
      <c r="F12" s="42">
        <v>4</v>
      </c>
      <c r="G12" s="28"/>
      <c r="H12" s="28" t="s">
        <v>309</v>
      </c>
      <c r="I12" s="28" t="s">
        <v>309</v>
      </c>
      <c r="J12" s="28" t="s">
        <v>309</v>
      </c>
      <c r="K12" s="28" t="s">
        <v>309</v>
      </c>
      <c r="L12" s="28" t="s">
        <v>309</v>
      </c>
      <c r="M12" s="28" t="s">
        <v>309</v>
      </c>
      <c r="N12" s="28"/>
      <c r="O12" s="28" t="s">
        <v>309</v>
      </c>
      <c r="P12" s="28" t="s">
        <v>309</v>
      </c>
      <c r="Q12" s="28" t="s">
        <v>309</v>
      </c>
      <c r="R12" s="28" t="s">
        <v>309</v>
      </c>
      <c r="S12" s="28" t="s">
        <v>309</v>
      </c>
      <c r="T12" s="28" t="s">
        <v>309</v>
      </c>
      <c r="U12" s="28"/>
      <c r="V12" s="28" t="s">
        <v>309</v>
      </c>
      <c r="W12" s="28" t="s">
        <v>309</v>
      </c>
      <c r="X12" s="28" t="s">
        <v>309</v>
      </c>
      <c r="Y12" s="28" t="s">
        <v>309</v>
      </c>
      <c r="Z12" s="28" t="s">
        <v>309</v>
      </c>
      <c r="AA12" s="28" t="s">
        <v>309</v>
      </c>
      <c r="AB12" s="28"/>
      <c r="AC12" s="28" t="s">
        <v>309</v>
      </c>
      <c r="AD12" s="28" t="s">
        <v>227</v>
      </c>
      <c r="AE12" s="28" t="s">
        <v>309</v>
      </c>
      <c r="AF12" s="28" t="s">
        <v>309</v>
      </c>
      <c r="AG12" s="28" t="s">
        <v>309</v>
      </c>
      <c r="AH12" s="28" t="s">
        <v>309</v>
      </c>
      <c r="AI12" s="28"/>
      <c r="AJ12" s="28" t="s">
        <v>309</v>
      </c>
      <c r="AK12" s="28" t="s">
        <v>309</v>
      </c>
      <c r="AN12" s="16" t="s">
        <v>471</v>
      </c>
      <c r="AO12" s="16" t="s">
        <v>251</v>
      </c>
      <c r="AP12" s="28">
        <f t="shared" ref="AP12:AP28" si="9">COUNTIF(G12:AK12,"P")</f>
        <v>25</v>
      </c>
      <c r="AQ12" s="28">
        <f t="shared" ref="AQ12:AQ28" si="10">COUNTIF(G12:AK12,"A")</f>
        <v>1</v>
      </c>
      <c r="AR12" s="28">
        <f t="shared" si="2"/>
        <v>31</v>
      </c>
      <c r="AS12" s="28">
        <f t="shared" si="3"/>
        <v>30</v>
      </c>
      <c r="AT12" s="28">
        <v>38100</v>
      </c>
      <c r="AU12" s="28">
        <f t="shared" si="4"/>
        <v>1905</v>
      </c>
      <c r="AV12" s="84">
        <f t="shared" si="5"/>
        <v>1229.0322580645161</v>
      </c>
      <c r="AW12" s="28">
        <f t="shared" si="6"/>
        <v>3810</v>
      </c>
      <c r="AX12" s="84">
        <f t="shared" si="7"/>
        <v>36870.967741935485</v>
      </c>
      <c r="AY12" s="84">
        <f t="shared" si="8"/>
        <v>38775.967741935485</v>
      </c>
    </row>
    <row r="13" spans="1:51" x14ac:dyDescent="0.35">
      <c r="A13" s="31">
        <v>5</v>
      </c>
      <c r="B13" s="32" t="s">
        <v>114</v>
      </c>
      <c r="C13" s="23" t="s">
        <v>252</v>
      </c>
      <c r="D13" s="37" t="s">
        <v>268</v>
      </c>
      <c r="E13" s="41">
        <v>4872</v>
      </c>
      <c r="F13" s="42">
        <v>5</v>
      </c>
      <c r="G13" s="28"/>
      <c r="H13" s="28" t="s">
        <v>309</v>
      </c>
      <c r="I13" s="28" t="s">
        <v>309</v>
      </c>
      <c r="J13" s="28" t="s">
        <v>309</v>
      </c>
      <c r="K13" s="28" t="s">
        <v>309</v>
      </c>
      <c r="L13" s="28" t="s">
        <v>309</v>
      </c>
      <c r="M13" s="28" t="s">
        <v>309</v>
      </c>
      <c r="N13" s="28"/>
      <c r="O13" s="28" t="s">
        <v>309</v>
      </c>
      <c r="P13" s="28" t="s">
        <v>309</v>
      </c>
      <c r="Q13" s="28" t="s">
        <v>309</v>
      </c>
      <c r="R13" s="28" t="s">
        <v>309</v>
      </c>
      <c r="S13" s="28" t="s">
        <v>309</v>
      </c>
      <c r="T13" s="28" t="s">
        <v>309</v>
      </c>
      <c r="U13" s="28"/>
      <c r="V13" s="28" t="s">
        <v>309</v>
      </c>
      <c r="W13" s="28" t="s">
        <v>309</v>
      </c>
      <c r="X13" s="28" t="s">
        <v>309</v>
      </c>
      <c r="Y13" s="28" t="s">
        <v>309</v>
      </c>
      <c r="Z13" s="28" t="s">
        <v>309</v>
      </c>
      <c r="AA13" s="28" t="s">
        <v>309</v>
      </c>
      <c r="AB13" s="28"/>
      <c r="AC13" s="28" t="s">
        <v>309</v>
      </c>
      <c r="AD13" s="28" t="s">
        <v>309</v>
      </c>
      <c r="AE13" s="28" t="s">
        <v>309</v>
      </c>
      <c r="AF13" s="28" t="s">
        <v>309</v>
      </c>
      <c r="AG13" s="28" t="s">
        <v>309</v>
      </c>
      <c r="AH13" s="28" t="s">
        <v>309</v>
      </c>
      <c r="AI13" s="28"/>
      <c r="AJ13" s="28" t="s">
        <v>309</v>
      </c>
      <c r="AK13" s="28" t="s">
        <v>309</v>
      </c>
      <c r="AN13" s="16" t="s">
        <v>472</v>
      </c>
      <c r="AO13" s="16" t="s">
        <v>252</v>
      </c>
      <c r="AP13" s="28">
        <f t="shared" si="9"/>
        <v>26</v>
      </c>
      <c r="AQ13" s="28">
        <f t="shared" si="10"/>
        <v>0</v>
      </c>
      <c r="AR13" s="28">
        <f t="shared" si="2"/>
        <v>31</v>
      </c>
      <c r="AS13" s="28">
        <f t="shared" si="3"/>
        <v>31</v>
      </c>
      <c r="AT13" s="28">
        <v>31000</v>
      </c>
      <c r="AU13" s="28">
        <f t="shared" si="4"/>
        <v>1550</v>
      </c>
      <c r="AV13" s="84">
        <f t="shared" si="5"/>
        <v>1000</v>
      </c>
      <c r="AW13" s="28">
        <f t="shared" si="6"/>
        <v>3100</v>
      </c>
      <c r="AX13" s="84">
        <f t="shared" si="7"/>
        <v>31000</v>
      </c>
      <c r="AY13" s="84">
        <f t="shared" si="8"/>
        <v>32550</v>
      </c>
    </row>
    <row r="14" spans="1:51" x14ac:dyDescent="0.35">
      <c r="A14" s="31">
        <v>6</v>
      </c>
      <c r="B14" s="32" t="s">
        <v>242</v>
      </c>
      <c r="C14" s="23" t="s">
        <v>253</v>
      </c>
      <c r="D14" s="37" t="s">
        <v>268</v>
      </c>
      <c r="E14" s="41">
        <v>4439</v>
      </c>
      <c r="F14" s="42">
        <v>6</v>
      </c>
      <c r="G14" s="28"/>
      <c r="H14" s="28" t="s">
        <v>309</v>
      </c>
      <c r="I14" s="28" t="s">
        <v>227</v>
      </c>
      <c r="J14" s="28" t="s">
        <v>309</v>
      </c>
      <c r="K14" s="28" t="s">
        <v>227</v>
      </c>
      <c r="L14" s="28" t="s">
        <v>309</v>
      </c>
      <c r="M14" s="28" t="s">
        <v>309</v>
      </c>
      <c r="N14" s="28"/>
      <c r="O14" s="28" t="s">
        <v>309</v>
      </c>
      <c r="P14" s="28" t="s">
        <v>309</v>
      </c>
      <c r="Q14" s="28" t="s">
        <v>309</v>
      </c>
      <c r="R14" s="28" t="s">
        <v>309</v>
      </c>
      <c r="S14" s="28" t="s">
        <v>309</v>
      </c>
      <c r="T14" s="28" t="s">
        <v>309</v>
      </c>
      <c r="U14" s="28"/>
      <c r="V14" s="28" t="s">
        <v>309</v>
      </c>
      <c r="W14" s="28" t="s">
        <v>309</v>
      </c>
      <c r="X14" s="28" t="s">
        <v>309</v>
      </c>
      <c r="Y14" s="28" t="s">
        <v>309</v>
      </c>
      <c r="Z14" s="28" t="s">
        <v>309</v>
      </c>
      <c r="AA14" s="28" t="s">
        <v>309</v>
      </c>
      <c r="AB14" s="28"/>
      <c r="AC14" s="28" t="s">
        <v>309</v>
      </c>
      <c r="AD14" s="28" t="s">
        <v>227</v>
      </c>
      <c r="AE14" s="28" t="s">
        <v>309</v>
      </c>
      <c r="AF14" s="28" t="s">
        <v>309</v>
      </c>
      <c r="AG14" s="28" t="s">
        <v>309</v>
      </c>
      <c r="AH14" s="28" t="s">
        <v>309</v>
      </c>
      <c r="AI14" s="28"/>
      <c r="AJ14" s="28" t="s">
        <v>309</v>
      </c>
      <c r="AK14" s="28" t="s">
        <v>309</v>
      </c>
      <c r="AN14" s="16" t="s">
        <v>473</v>
      </c>
      <c r="AO14" s="16" t="s">
        <v>253</v>
      </c>
      <c r="AP14" s="28">
        <f t="shared" si="9"/>
        <v>23</v>
      </c>
      <c r="AQ14" s="28">
        <f t="shared" si="10"/>
        <v>3</v>
      </c>
      <c r="AR14" s="28">
        <f t="shared" si="2"/>
        <v>31</v>
      </c>
      <c r="AS14" s="28">
        <f t="shared" si="3"/>
        <v>28</v>
      </c>
      <c r="AT14" s="28">
        <v>38600</v>
      </c>
      <c r="AU14" s="28">
        <f t="shared" si="4"/>
        <v>1930</v>
      </c>
      <c r="AV14" s="84">
        <f t="shared" si="5"/>
        <v>1245.1612903225807</v>
      </c>
      <c r="AW14" s="28">
        <f t="shared" si="6"/>
        <v>3860</v>
      </c>
      <c r="AX14" s="84">
        <f t="shared" si="7"/>
        <v>34864.516129032258</v>
      </c>
      <c r="AY14" s="84">
        <f t="shared" si="8"/>
        <v>36794.516129032258</v>
      </c>
    </row>
    <row r="15" spans="1:51" x14ac:dyDescent="0.35">
      <c r="A15" s="31">
        <v>7</v>
      </c>
      <c r="B15" s="32" t="s">
        <v>116</v>
      </c>
      <c r="C15" s="23" t="s">
        <v>254</v>
      </c>
      <c r="D15" s="37" t="s">
        <v>268</v>
      </c>
      <c r="E15" s="41">
        <v>4918</v>
      </c>
      <c r="F15" s="42">
        <v>7</v>
      </c>
      <c r="G15" s="28"/>
      <c r="H15" s="28" t="s">
        <v>309</v>
      </c>
      <c r="I15" s="28" t="s">
        <v>309</v>
      </c>
      <c r="J15" s="28" t="s">
        <v>309</v>
      </c>
      <c r="K15" s="28" t="s">
        <v>227</v>
      </c>
      <c r="L15" s="28" t="s">
        <v>309</v>
      </c>
      <c r="M15" s="28" t="s">
        <v>309</v>
      </c>
      <c r="N15" s="28"/>
      <c r="O15" s="28" t="s">
        <v>309</v>
      </c>
      <c r="P15" s="28" t="s">
        <v>309</v>
      </c>
      <c r="Q15" s="28" t="s">
        <v>309</v>
      </c>
      <c r="R15" s="28" t="s">
        <v>309</v>
      </c>
      <c r="S15" s="28" t="s">
        <v>309</v>
      </c>
      <c r="T15" s="28" t="s">
        <v>309</v>
      </c>
      <c r="U15" s="28"/>
      <c r="V15" s="28" t="s">
        <v>309</v>
      </c>
      <c r="W15" s="28" t="s">
        <v>309</v>
      </c>
      <c r="X15" s="28" t="s">
        <v>309</v>
      </c>
      <c r="Y15" s="28" t="s">
        <v>309</v>
      </c>
      <c r="Z15" s="28" t="s">
        <v>309</v>
      </c>
      <c r="AA15" s="28" t="s">
        <v>309</v>
      </c>
      <c r="AB15" s="28"/>
      <c r="AC15" s="28" t="s">
        <v>309</v>
      </c>
      <c r="AD15" s="28" t="s">
        <v>309</v>
      </c>
      <c r="AE15" s="28" t="s">
        <v>309</v>
      </c>
      <c r="AF15" s="28" t="s">
        <v>309</v>
      </c>
      <c r="AG15" s="28" t="s">
        <v>227</v>
      </c>
      <c r="AH15" s="28" t="s">
        <v>309</v>
      </c>
      <c r="AI15" s="28"/>
      <c r="AJ15" s="28" t="s">
        <v>309</v>
      </c>
      <c r="AK15" s="28" t="s">
        <v>309</v>
      </c>
      <c r="AN15" s="16" t="s">
        <v>474</v>
      </c>
      <c r="AO15" s="16" t="s">
        <v>254</v>
      </c>
      <c r="AP15" s="28">
        <f t="shared" si="9"/>
        <v>24</v>
      </c>
      <c r="AQ15" s="28">
        <f t="shared" si="10"/>
        <v>2</v>
      </c>
      <c r="AR15" s="28">
        <f t="shared" si="2"/>
        <v>31</v>
      </c>
      <c r="AS15" s="28">
        <f t="shared" si="3"/>
        <v>29</v>
      </c>
      <c r="AT15" s="28">
        <v>42500</v>
      </c>
      <c r="AU15" s="28">
        <f t="shared" si="4"/>
        <v>2125</v>
      </c>
      <c r="AV15" s="84">
        <f t="shared" si="5"/>
        <v>1370.9677419354839</v>
      </c>
      <c r="AW15" s="28">
        <f t="shared" si="6"/>
        <v>4250</v>
      </c>
      <c r="AX15" s="84">
        <f t="shared" si="7"/>
        <v>39758.06451612903</v>
      </c>
      <c r="AY15" s="84">
        <f t="shared" si="8"/>
        <v>41883.06451612903</v>
      </c>
    </row>
    <row r="16" spans="1:51" x14ac:dyDescent="0.35">
      <c r="A16" s="31">
        <v>8</v>
      </c>
      <c r="B16" s="32" t="s">
        <v>248</v>
      </c>
      <c r="C16" s="23" t="s">
        <v>255</v>
      </c>
      <c r="D16" s="37" t="s">
        <v>268</v>
      </c>
      <c r="E16" s="41">
        <v>4858</v>
      </c>
      <c r="F16" s="42">
        <v>8</v>
      </c>
      <c r="G16" s="28"/>
      <c r="H16" s="28" t="s">
        <v>309</v>
      </c>
      <c r="I16" s="28" t="s">
        <v>309</v>
      </c>
      <c r="J16" s="28" t="s">
        <v>309</v>
      </c>
      <c r="K16" s="28" t="s">
        <v>227</v>
      </c>
      <c r="L16" s="28" t="s">
        <v>309</v>
      </c>
      <c r="M16" s="28" t="s">
        <v>309</v>
      </c>
      <c r="N16" s="28"/>
      <c r="O16" s="28" t="s">
        <v>309</v>
      </c>
      <c r="P16" s="28" t="s">
        <v>309</v>
      </c>
      <c r="Q16" s="28" t="s">
        <v>309</v>
      </c>
      <c r="R16" s="28" t="s">
        <v>309</v>
      </c>
      <c r="S16" s="28" t="s">
        <v>309</v>
      </c>
      <c r="T16" s="28" t="s">
        <v>309</v>
      </c>
      <c r="U16" s="28"/>
      <c r="V16" s="28" t="s">
        <v>309</v>
      </c>
      <c r="W16" s="28" t="s">
        <v>309</v>
      </c>
      <c r="X16" s="28" t="s">
        <v>309</v>
      </c>
      <c r="Y16" s="28" t="s">
        <v>309</v>
      </c>
      <c r="Z16" s="28" t="s">
        <v>309</v>
      </c>
      <c r="AA16" s="28" t="s">
        <v>309</v>
      </c>
      <c r="AB16" s="28"/>
      <c r="AC16" s="28" t="s">
        <v>309</v>
      </c>
      <c r="AD16" s="28" t="s">
        <v>309</v>
      </c>
      <c r="AE16" s="28" t="s">
        <v>309</v>
      </c>
      <c r="AF16" s="28" t="s">
        <v>309</v>
      </c>
      <c r="AG16" s="28" t="s">
        <v>309</v>
      </c>
      <c r="AH16" s="28" t="s">
        <v>309</v>
      </c>
      <c r="AI16" s="28"/>
      <c r="AJ16" s="28" t="s">
        <v>309</v>
      </c>
      <c r="AK16" s="28" t="s">
        <v>309</v>
      </c>
      <c r="AN16" s="16" t="s">
        <v>475</v>
      </c>
      <c r="AO16" s="16" t="s">
        <v>255</v>
      </c>
      <c r="AP16" s="28">
        <f t="shared" si="9"/>
        <v>25</v>
      </c>
      <c r="AQ16" s="28">
        <f t="shared" si="10"/>
        <v>1</v>
      </c>
      <c r="AR16" s="28">
        <f t="shared" si="2"/>
        <v>31</v>
      </c>
      <c r="AS16" s="28">
        <f t="shared" si="3"/>
        <v>30</v>
      </c>
      <c r="AT16" s="28">
        <v>35900</v>
      </c>
      <c r="AU16" s="28">
        <f t="shared" si="4"/>
        <v>1795</v>
      </c>
      <c r="AV16" s="84">
        <f t="shared" si="5"/>
        <v>1158.0645161290322</v>
      </c>
      <c r="AW16" s="28">
        <f t="shared" si="6"/>
        <v>3590</v>
      </c>
      <c r="AX16" s="84">
        <f t="shared" si="7"/>
        <v>34741.93548387097</v>
      </c>
      <c r="AY16" s="84">
        <f t="shared" si="8"/>
        <v>36536.93548387097</v>
      </c>
    </row>
    <row r="17" spans="1:51" x14ac:dyDescent="0.35">
      <c r="A17" s="31">
        <v>9</v>
      </c>
      <c r="B17" s="32" t="s">
        <v>117</v>
      </c>
      <c r="C17" s="23" t="s">
        <v>256</v>
      </c>
      <c r="D17" s="37" t="s">
        <v>268</v>
      </c>
      <c r="E17" s="41">
        <v>4608</v>
      </c>
      <c r="F17" s="42">
        <v>9</v>
      </c>
      <c r="G17" s="28"/>
      <c r="H17" s="28" t="s">
        <v>309</v>
      </c>
      <c r="I17" s="28" t="s">
        <v>309</v>
      </c>
      <c r="J17" s="28" t="s">
        <v>309</v>
      </c>
      <c r="K17" s="28" t="s">
        <v>309</v>
      </c>
      <c r="L17" s="28" t="s">
        <v>309</v>
      </c>
      <c r="M17" s="28" t="s">
        <v>227</v>
      </c>
      <c r="N17" s="28"/>
      <c r="O17" s="28" t="s">
        <v>309</v>
      </c>
      <c r="P17" s="28" t="s">
        <v>309</v>
      </c>
      <c r="Q17" s="28" t="s">
        <v>309</v>
      </c>
      <c r="R17" s="28" t="s">
        <v>309</v>
      </c>
      <c r="S17" s="28" t="s">
        <v>227</v>
      </c>
      <c r="T17" s="28" t="s">
        <v>227</v>
      </c>
      <c r="U17" s="28"/>
      <c r="V17" s="28" t="s">
        <v>309</v>
      </c>
      <c r="W17" s="28" t="s">
        <v>309</v>
      </c>
      <c r="X17" s="28" t="s">
        <v>227</v>
      </c>
      <c r="Y17" s="28" t="s">
        <v>309</v>
      </c>
      <c r="Z17" s="28" t="s">
        <v>309</v>
      </c>
      <c r="AA17" s="28" t="s">
        <v>309</v>
      </c>
      <c r="AB17" s="28"/>
      <c r="AC17" s="28" t="s">
        <v>309</v>
      </c>
      <c r="AD17" s="28" t="s">
        <v>309</v>
      </c>
      <c r="AE17" s="28" t="s">
        <v>309</v>
      </c>
      <c r="AF17" s="28" t="s">
        <v>309</v>
      </c>
      <c r="AG17" s="28" t="s">
        <v>309</v>
      </c>
      <c r="AH17" s="28" t="s">
        <v>309</v>
      </c>
      <c r="AI17" s="28"/>
      <c r="AJ17" s="28" t="s">
        <v>309</v>
      </c>
      <c r="AK17" s="28" t="s">
        <v>309</v>
      </c>
      <c r="AN17" s="16" t="s">
        <v>476</v>
      </c>
      <c r="AO17" s="16" t="s">
        <v>256</v>
      </c>
      <c r="AP17" s="28">
        <f t="shared" si="9"/>
        <v>22</v>
      </c>
      <c r="AQ17" s="28">
        <f t="shared" si="10"/>
        <v>4</v>
      </c>
      <c r="AR17" s="28">
        <f t="shared" si="2"/>
        <v>31</v>
      </c>
      <c r="AS17" s="28">
        <f t="shared" si="3"/>
        <v>27</v>
      </c>
      <c r="AT17" s="28">
        <v>39000</v>
      </c>
      <c r="AU17" s="28">
        <f t="shared" si="4"/>
        <v>1950</v>
      </c>
      <c r="AV17" s="84">
        <f t="shared" si="5"/>
        <v>1258.0645161290322</v>
      </c>
      <c r="AW17" s="28">
        <f t="shared" si="6"/>
        <v>3900</v>
      </c>
      <c r="AX17" s="84">
        <f t="shared" si="7"/>
        <v>33967.741935483871</v>
      </c>
      <c r="AY17" s="84">
        <f t="shared" si="8"/>
        <v>35917.741935483871</v>
      </c>
    </row>
    <row r="18" spans="1:51" x14ac:dyDescent="0.35">
      <c r="A18" s="31">
        <v>10</v>
      </c>
      <c r="B18" s="32" t="s">
        <v>241</v>
      </c>
      <c r="C18" s="23" t="s">
        <v>260</v>
      </c>
      <c r="D18" s="37" t="s">
        <v>268</v>
      </c>
      <c r="E18" s="41">
        <v>4365</v>
      </c>
      <c r="F18" s="42">
        <v>10</v>
      </c>
      <c r="G18" s="28"/>
      <c r="H18" s="28" t="s">
        <v>309</v>
      </c>
      <c r="I18" s="28" t="s">
        <v>309</v>
      </c>
      <c r="J18" s="28" t="s">
        <v>309</v>
      </c>
      <c r="K18" s="28" t="s">
        <v>309</v>
      </c>
      <c r="L18" s="28" t="s">
        <v>309</v>
      </c>
      <c r="M18" s="28" t="s">
        <v>309</v>
      </c>
      <c r="N18" s="28"/>
      <c r="O18" s="28" t="s">
        <v>309</v>
      </c>
      <c r="P18" s="28" t="s">
        <v>227</v>
      </c>
      <c r="Q18" s="28" t="s">
        <v>227</v>
      </c>
      <c r="R18" s="28" t="s">
        <v>309</v>
      </c>
      <c r="S18" s="28" t="s">
        <v>309</v>
      </c>
      <c r="T18" s="28" t="s">
        <v>309</v>
      </c>
      <c r="U18" s="28"/>
      <c r="V18" s="28" t="s">
        <v>309</v>
      </c>
      <c r="W18" s="28" t="s">
        <v>309</v>
      </c>
      <c r="X18" s="28" t="s">
        <v>309</v>
      </c>
      <c r="Y18" s="28" t="s">
        <v>309</v>
      </c>
      <c r="Z18" s="28" t="s">
        <v>309</v>
      </c>
      <c r="AA18" s="28" t="s">
        <v>309</v>
      </c>
      <c r="AB18" s="28"/>
      <c r="AC18" s="28" t="s">
        <v>309</v>
      </c>
      <c r="AD18" s="28" t="s">
        <v>227</v>
      </c>
      <c r="AE18" s="28" t="s">
        <v>309</v>
      </c>
      <c r="AF18" s="28" t="s">
        <v>309</v>
      </c>
      <c r="AG18" s="28" t="s">
        <v>309</v>
      </c>
      <c r="AH18" s="28" t="s">
        <v>309</v>
      </c>
      <c r="AI18" s="28"/>
      <c r="AJ18" s="28" t="s">
        <v>309</v>
      </c>
      <c r="AK18" s="28" t="s">
        <v>309</v>
      </c>
      <c r="AN18" s="16" t="s">
        <v>477</v>
      </c>
      <c r="AO18" s="16" t="s">
        <v>260</v>
      </c>
      <c r="AP18" s="28">
        <f t="shared" si="9"/>
        <v>23</v>
      </c>
      <c r="AQ18" s="28">
        <f t="shared" si="10"/>
        <v>3</v>
      </c>
      <c r="AR18" s="28">
        <f t="shared" si="2"/>
        <v>31</v>
      </c>
      <c r="AS18" s="28">
        <f t="shared" si="3"/>
        <v>28</v>
      </c>
      <c r="AT18" s="28">
        <v>36000</v>
      </c>
      <c r="AU18" s="28">
        <f t="shared" si="4"/>
        <v>1800</v>
      </c>
      <c r="AV18" s="84">
        <f t="shared" si="5"/>
        <v>1161.2903225806451</v>
      </c>
      <c r="AW18" s="28">
        <f t="shared" si="6"/>
        <v>3600</v>
      </c>
      <c r="AX18" s="84">
        <f t="shared" si="7"/>
        <v>32516.129032258064</v>
      </c>
      <c r="AY18" s="84">
        <f t="shared" si="8"/>
        <v>34316.129032258061</v>
      </c>
    </row>
    <row r="19" spans="1:51" x14ac:dyDescent="0.35">
      <c r="A19" s="31">
        <v>11</v>
      </c>
      <c r="B19" s="32" t="s">
        <v>240</v>
      </c>
      <c r="C19" s="23" t="s">
        <v>259</v>
      </c>
      <c r="D19" s="37" t="s">
        <v>268</v>
      </c>
      <c r="E19" s="41">
        <v>4790</v>
      </c>
      <c r="F19" s="42">
        <v>11</v>
      </c>
      <c r="G19" s="28"/>
      <c r="H19" s="28" t="s">
        <v>309</v>
      </c>
      <c r="I19" s="28" t="s">
        <v>309</v>
      </c>
      <c r="J19" s="28" t="s">
        <v>309</v>
      </c>
      <c r="K19" s="28" t="s">
        <v>309</v>
      </c>
      <c r="L19" s="28" t="s">
        <v>309</v>
      </c>
      <c r="M19" s="28" t="s">
        <v>309</v>
      </c>
      <c r="N19" s="28"/>
      <c r="O19" s="28" t="s">
        <v>309</v>
      </c>
      <c r="P19" s="28" t="s">
        <v>227</v>
      </c>
      <c r="Q19" s="28" t="s">
        <v>227</v>
      </c>
      <c r="R19" s="28" t="s">
        <v>309</v>
      </c>
      <c r="S19" s="28" t="s">
        <v>309</v>
      </c>
      <c r="T19" s="28" t="s">
        <v>309</v>
      </c>
      <c r="U19" s="28"/>
      <c r="V19" s="28" t="s">
        <v>309</v>
      </c>
      <c r="W19" s="28" t="s">
        <v>309</v>
      </c>
      <c r="X19" s="28" t="s">
        <v>309</v>
      </c>
      <c r="Y19" s="28" t="s">
        <v>309</v>
      </c>
      <c r="Z19" s="28" t="s">
        <v>309</v>
      </c>
      <c r="AA19" s="28" t="s">
        <v>309</v>
      </c>
      <c r="AB19" s="28"/>
      <c r="AC19" s="28" t="s">
        <v>309</v>
      </c>
      <c r="AD19" s="28" t="s">
        <v>309</v>
      </c>
      <c r="AE19" s="28" t="s">
        <v>309</v>
      </c>
      <c r="AF19" s="28" t="s">
        <v>309</v>
      </c>
      <c r="AG19" s="28" t="s">
        <v>309</v>
      </c>
      <c r="AH19" s="28" t="s">
        <v>309</v>
      </c>
      <c r="AI19" s="28"/>
      <c r="AJ19" s="28" t="s">
        <v>309</v>
      </c>
      <c r="AK19" s="28" t="s">
        <v>309</v>
      </c>
      <c r="AN19" s="16" t="s">
        <v>478</v>
      </c>
      <c r="AO19" s="16" t="s">
        <v>259</v>
      </c>
      <c r="AP19" s="28">
        <f t="shared" si="9"/>
        <v>24</v>
      </c>
      <c r="AQ19" s="28">
        <f t="shared" si="10"/>
        <v>2</v>
      </c>
      <c r="AR19" s="28">
        <f t="shared" si="2"/>
        <v>31</v>
      </c>
      <c r="AS19" s="28">
        <f t="shared" si="3"/>
        <v>29</v>
      </c>
      <c r="AT19" s="28">
        <v>26100</v>
      </c>
      <c r="AU19" s="28">
        <f t="shared" si="4"/>
        <v>1305</v>
      </c>
      <c r="AV19" s="84">
        <f t="shared" si="5"/>
        <v>841.93548387096769</v>
      </c>
      <c r="AW19" s="28">
        <f t="shared" si="6"/>
        <v>2610</v>
      </c>
      <c r="AX19" s="84">
        <f t="shared" si="7"/>
        <v>24416.129032258064</v>
      </c>
      <c r="AY19" s="84">
        <f t="shared" si="8"/>
        <v>25721.129032258064</v>
      </c>
    </row>
    <row r="20" spans="1:51" x14ac:dyDescent="0.35">
      <c r="A20" s="31">
        <v>12</v>
      </c>
      <c r="B20" s="32" t="s">
        <v>112</v>
      </c>
      <c r="C20" s="23" t="s">
        <v>258</v>
      </c>
      <c r="D20" s="37" t="s">
        <v>268</v>
      </c>
      <c r="E20" s="41">
        <v>4769</v>
      </c>
      <c r="F20" s="42">
        <v>12</v>
      </c>
      <c r="G20" s="28"/>
      <c r="H20" s="28" t="s">
        <v>309</v>
      </c>
      <c r="I20" s="28" t="s">
        <v>309</v>
      </c>
      <c r="J20" s="28" t="s">
        <v>309</v>
      </c>
      <c r="K20" s="28" t="s">
        <v>309</v>
      </c>
      <c r="L20" s="28" t="s">
        <v>309</v>
      </c>
      <c r="M20" s="28" t="s">
        <v>309</v>
      </c>
      <c r="N20" s="28"/>
      <c r="O20" s="28" t="s">
        <v>227</v>
      </c>
      <c r="P20" s="28" t="s">
        <v>309</v>
      </c>
      <c r="Q20" s="28" t="s">
        <v>309</v>
      </c>
      <c r="R20" s="28" t="s">
        <v>309</v>
      </c>
      <c r="S20" s="28" t="s">
        <v>309</v>
      </c>
      <c r="T20" s="28" t="s">
        <v>309</v>
      </c>
      <c r="U20" s="28"/>
      <c r="V20" s="28" t="s">
        <v>309</v>
      </c>
      <c r="W20" s="28" t="s">
        <v>309</v>
      </c>
      <c r="X20" s="28" t="s">
        <v>227</v>
      </c>
      <c r="Y20" s="28" t="s">
        <v>227</v>
      </c>
      <c r="Z20" s="28" t="s">
        <v>309</v>
      </c>
      <c r="AA20" s="28" t="s">
        <v>227</v>
      </c>
      <c r="AB20" s="28"/>
      <c r="AC20" s="28" t="s">
        <v>309</v>
      </c>
      <c r="AD20" s="28" t="s">
        <v>309</v>
      </c>
      <c r="AE20" s="28" t="s">
        <v>309</v>
      </c>
      <c r="AF20" s="28" t="s">
        <v>309</v>
      </c>
      <c r="AG20" s="28" t="s">
        <v>309</v>
      </c>
      <c r="AH20" s="28" t="s">
        <v>309</v>
      </c>
      <c r="AI20" s="28"/>
      <c r="AJ20" s="28" t="s">
        <v>309</v>
      </c>
      <c r="AK20" s="28" t="s">
        <v>309</v>
      </c>
      <c r="AN20" s="16" t="s">
        <v>479</v>
      </c>
      <c r="AO20" s="16" t="s">
        <v>258</v>
      </c>
      <c r="AP20" s="28">
        <f t="shared" si="9"/>
        <v>22</v>
      </c>
      <c r="AQ20" s="28">
        <f t="shared" si="10"/>
        <v>4</v>
      </c>
      <c r="AR20" s="28">
        <f t="shared" si="2"/>
        <v>31</v>
      </c>
      <c r="AS20" s="28">
        <f t="shared" si="3"/>
        <v>27</v>
      </c>
      <c r="AT20" s="28">
        <v>40000</v>
      </c>
      <c r="AU20" s="28">
        <f t="shared" si="4"/>
        <v>2000</v>
      </c>
      <c r="AV20" s="84">
        <f t="shared" si="5"/>
        <v>1290.3225806451612</v>
      </c>
      <c r="AW20" s="28">
        <f t="shared" si="6"/>
        <v>4000</v>
      </c>
      <c r="AX20" s="84">
        <f t="shared" si="7"/>
        <v>34838.709677419356</v>
      </c>
      <c r="AY20" s="84">
        <f t="shared" si="8"/>
        <v>36838.709677419356</v>
      </c>
    </row>
    <row r="21" spans="1:51" x14ac:dyDescent="0.35">
      <c r="A21" s="31">
        <v>13</v>
      </c>
      <c r="B21" s="32" t="s">
        <v>243</v>
      </c>
      <c r="C21" s="23" t="s">
        <v>257</v>
      </c>
      <c r="D21" s="37" t="s">
        <v>268</v>
      </c>
      <c r="E21" s="41">
        <v>4720</v>
      </c>
      <c r="F21" s="42">
        <v>13</v>
      </c>
      <c r="G21" s="28"/>
      <c r="H21" s="28" t="s">
        <v>309</v>
      </c>
      <c r="I21" s="28" t="s">
        <v>309</v>
      </c>
      <c r="J21" s="28" t="s">
        <v>309</v>
      </c>
      <c r="K21" s="28" t="s">
        <v>309</v>
      </c>
      <c r="L21" s="28" t="s">
        <v>309</v>
      </c>
      <c r="M21" s="28" t="s">
        <v>309</v>
      </c>
      <c r="N21" s="28"/>
      <c r="O21" s="28" t="s">
        <v>309</v>
      </c>
      <c r="P21" s="28" t="s">
        <v>227</v>
      </c>
      <c r="Q21" s="28" t="s">
        <v>309</v>
      </c>
      <c r="R21" s="28" t="s">
        <v>309</v>
      </c>
      <c r="S21" s="28" t="s">
        <v>309</v>
      </c>
      <c r="T21" s="28" t="s">
        <v>309</v>
      </c>
      <c r="U21" s="28"/>
      <c r="V21" s="28" t="s">
        <v>309</v>
      </c>
      <c r="W21" s="28" t="s">
        <v>309</v>
      </c>
      <c r="X21" s="28" t="s">
        <v>309</v>
      </c>
      <c r="Y21" s="28" t="s">
        <v>309</v>
      </c>
      <c r="Z21" s="28" t="s">
        <v>309</v>
      </c>
      <c r="AA21" s="28" t="s">
        <v>309</v>
      </c>
      <c r="AB21" s="28"/>
      <c r="AC21" s="28" t="s">
        <v>227</v>
      </c>
      <c r="AD21" s="28" t="s">
        <v>309</v>
      </c>
      <c r="AE21" s="28" t="s">
        <v>309</v>
      </c>
      <c r="AF21" s="28" t="s">
        <v>309</v>
      </c>
      <c r="AG21" s="28" t="s">
        <v>309</v>
      </c>
      <c r="AH21" s="28" t="s">
        <v>309</v>
      </c>
      <c r="AI21" s="28"/>
      <c r="AJ21" s="28" t="s">
        <v>227</v>
      </c>
      <c r="AK21" s="28" t="s">
        <v>309</v>
      </c>
      <c r="AN21" s="16" t="s">
        <v>480</v>
      </c>
      <c r="AO21" s="16" t="s">
        <v>257</v>
      </c>
      <c r="AP21" s="28">
        <f t="shared" si="9"/>
        <v>23</v>
      </c>
      <c r="AQ21" s="28">
        <f t="shared" si="10"/>
        <v>3</v>
      </c>
      <c r="AR21" s="28">
        <f t="shared" si="2"/>
        <v>31</v>
      </c>
      <c r="AS21" s="28">
        <f t="shared" si="3"/>
        <v>28</v>
      </c>
      <c r="AT21" s="28">
        <v>28000</v>
      </c>
      <c r="AU21" s="28">
        <f t="shared" si="4"/>
        <v>1400</v>
      </c>
      <c r="AV21" s="84">
        <f t="shared" si="5"/>
        <v>903.22580645161293</v>
      </c>
      <c r="AW21" s="28">
        <f t="shared" si="6"/>
        <v>2800</v>
      </c>
      <c r="AX21" s="84">
        <f t="shared" si="7"/>
        <v>25290.322580645163</v>
      </c>
      <c r="AY21" s="84">
        <f t="shared" si="8"/>
        <v>26690.322580645163</v>
      </c>
    </row>
    <row r="22" spans="1:51" x14ac:dyDescent="0.35">
      <c r="A22" s="31">
        <v>14</v>
      </c>
      <c r="B22" s="32" t="s">
        <v>245</v>
      </c>
      <c r="C22" s="23" t="s">
        <v>261</v>
      </c>
      <c r="D22" s="37" t="s">
        <v>268</v>
      </c>
      <c r="E22" s="41">
        <v>4451</v>
      </c>
      <c r="F22" s="42">
        <v>14</v>
      </c>
      <c r="G22" s="28"/>
      <c r="H22" s="28" t="s">
        <v>309</v>
      </c>
      <c r="I22" s="28" t="s">
        <v>309</v>
      </c>
      <c r="J22" s="28" t="s">
        <v>309</v>
      </c>
      <c r="K22" s="28" t="s">
        <v>309</v>
      </c>
      <c r="L22" s="28" t="s">
        <v>309</v>
      </c>
      <c r="M22" s="28" t="s">
        <v>309</v>
      </c>
      <c r="N22" s="28"/>
      <c r="O22" s="28" t="s">
        <v>227</v>
      </c>
      <c r="P22" s="28" t="s">
        <v>309</v>
      </c>
      <c r="Q22" s="28" t="s">
        <v>309</v>
      </c>
      <c r="R22" s="28" t="s">
        <v>309</v>
      </c>
      <c r="S22" s="28" t="s">
        <v>309</v>
      </c>
      <c r="T22" s="28" t="s">
        <v>309</v>
      </c>
      <c r="U22" s="28"/>
      <c r="V22" s="28" t="s">
        <v>309</v>
      </c>
      <c r="W22" s="28" t="s">
        <v>309</v>
      </c>
      <c r="X22" s="28" t="s">
        <v>309</v>
      </c>
      <c r="Y22" s="28" t="s">
        <v>309</v>
      </c>
      <c r="Z22" s="28" t="s">
        <v>309</v>
      </c>
      <c r="AA22" s="28" t="s">
        <v>227</v>
      </c>
      <c r="AB22" s="28"/>
      <c r="AC22" s="28" t="s">
        <v>309</v>
      </c>
      <c r="AD22" s="28" t="s">
        <v>309</v>
      </c>
      <c r="AE22" s="28" t="s">
        <v>309</v>
      </c>
      <c r="AF22" s="28" t="s">
        <v>309</v>
      </c>
      <c r="AG22" s="28" t="s">
        <v>309</v>
      </c>
      <c r="AH22" s="28" t="s">
        <v>309</v>
      </c>
      <c r="AI22" s="28"/>
      <c r="AJ22" s="28" t="s">
        <v>309</v>
      </c>
      <c r="AK22" s="28" t="s">
        <v>309</v>
      </c>
      <c r="AN22" s="16" t="s">
        <v>481</v>
      </c>
      <c r="AO22" s="16" t="s">
        <v>261</v>
      </c>
      <c r="AP22" s="28">
        <f t="shared" si="9"/>
        <v>24</v>
      </c>
      <c r="AQ22" s="28">
        <f t="shared" si="10"/>
        <v>2</v>
      </c>
      <c r="AR22" s="28">
        <f t="shared" si="2"/>
        <v>31</v>
      </c>
      <c r="AS22" s="28">
        <f t="shared" si="3"/>
        <v>29</v>
      </c>
      <c r="AT22" s="28">
        <v>42600</v>
      </c>
      <c r="AU22" s="28">
        <f t="shared" si="4"/>
        <v>2130</v>
      </c>
      <c r="AV22" s="84">
        <f t="shared" si="5"/>
        <v>1374.1935483870968</v>
      </c>
      <c r="AW22" s="28">
        <f t="shared" si="6"/>
        <v>4260</v>
      </c>
      <c r="AX22" s="84">
        <f t="shared" si="7"/>
        <v>39851.61290322581</v>
      </c>
      <c r="AY22" s="84">
        <f t="shared" si="8"/>
        <v>41981.61290322581</v>
      </c>
    </row>
    <row r="23" spans="1:51" x14ac:dyDescent="0.35">
      <c r="A23" s="31">
        <v>15</v>
      </c>
      <c r="B23" s="32" t="s">
        <v>247</v>
      </c>
      <c r="C23" s="23" t="s">
        <v>262</v>
      </c>
      <c r="D23" s="37" t="s">
        <v>268</v>
      </c>
      <c r="E23" s="41">
        <v>4502</v>
      </c>
      <c r="F23" s="42">
        <v>15</v>
      </c>
      <c r="G23" s="28"/>
      <c r="H23" s="28" t="s">
        <v>309</v>
      </c>
      <c r="I23" s="28" t="s">
        <v>309</v>
      </c>
      <c r="J23" s="28" t="s">
        <v>309</v>
      </c>
      <c r="K23" s="28" t="s">
        <v>309</v>
      </c>
      <c r="L23" s="28" t="s">
        <v>227</v>
      </c>
      <c r="M23" s="28" t="s">
        <v>309</v>
      </c>
      <c r="N23" s="28"/>
      <c r="O23" s="28" t="s">
        <v>309</v>
      </c>
      <c r="P23" s="28" t="s">
        <v>309</v>
      </c>
      <c r="Q23" s="28" t="s">
        <v>309</v>
      </c>
      <c r="R23" s="28" t="s">
        <v>309</v>
      </c>
      <c r="S23" s="28" t="s">
        <v>309</v>
      </c>
      <c r="T23" s="28" t="s">
        <v>309</v>
      </c>
      <c r="U23" s="28"/>
      <c r="V23" s="28" t="s">
        <v>309</v>
      </c>
      <c r="W23" s="28" t="s">
        <v>309</v>
      </c>
      <c r="X23" s="28" t="s">
        <v>309</v>
      </c>
      <c r="Y23" s="28" t="s">
        <v>309</v>
      </c>
      <c r="Z23" s="28" t="s">
        <v>309</v>
      </c>
      <c r="AA23" s="28" t="s">
        <v>309</v>
      </c>
      <c r="AB23" s="28"/>
      <c r="AC23" s="28" t="s">
        <v>309</v>
      </c>
      <c r="AD23" s="28" t="s">
        <v>309</v>
      </c>
      <c r="AE23" s="28" t="s">
        <v>309</v>
      </c>
      <c r="AF23" s="28" t="s">
        <v>309</v>
      </c>
      <c r="AG23" s="28" t="s">
        <v>227</v>
      </c>
      <c r="AH23" s="28" t="s">
        <v>309</v>
      </c>
      <c r="AI23" s="28"/>
      <c r="AJ23" s="28" t="s">
        <v>227</v>
      </c>
      <c r="AK23" s="28" t="s">
        <v>309</v>
      </c>
      <c r="AN23" s="16" t="s">
        <v>482</v>
      </c>
      <c r="AO23" s="16" t="s">
        <v>262</v>
      </c>
      <c r="AP23" s="28">
        <f t="shared" si="9"/>
        <v>23</v>
      </c>
      <c r="AQ23" s="28">
        <f t="shared" si="10"/>
        <v>3</v>
      </c>
      <c r="AR23" s="28">
        <f t="shared" si="2"/>
        <v>31</v>
      </c>
      <c r="AS23" s="28">
        <f t="shared" si="3"/>
        <v>28</v>
      </c>
      <c r="AT23" s="28">
        <v>37600</v>
      </c>
      <c r="AU23" s="28">
        <f t="shared" si="4"/>
        <v>1880</v>
      </c>
      <c r="AV23" s="84">
        <f t="shared" si="5"/>
        <v>1212.9032258064517</v>
      </c>
      <c r="AW23" s="28">
        <f t="shared" si="6"/>
        <v>3760</v>
      </c>
      <c r="AX23" s="84">
        <f t="shared" si="7"/>
        <v>33961.290322580651</v>
      </c>
      <c r="AY23" s="84">
        <f t="shared" si="8"/>
        <v>35841.290322580651</v>
      </c>
    </row>
    <row r="24" spans="1:51" x14ac:dyDescent="0.35">
      <c r="A24" s="31">
        <v>16</v>
      </c>
      <c r="B24" s="32" t="s">
        <v>115</v>
      </c>
      <c r="C24" s="23" t="s">
        <v>263</v>
      </c>
      <c r="D24" s="37" t="s">
        <v>268</v>
      </c>
      <c r="E24" s="41">
        <v>4571</v>
      </c>
      <c r="F24" s="42">
        <v>16</v>
      </c>
      <c r="G24" s="28"/>
      <c r="H24" s="28" t="s">
        <v>309</v>
      </c>
      <c r="I24" s="28" t="s">
        <v>309</v>
      </c>
      <c r="J24" s="28" t="s">
        <v>227</v>
      </c>
      <c r="K24" s="28" t="s">
        <v>309</v>
      </c>
      <c r="L24" s="28" t="s">
        <v>227</v>
      </c>
      <c r="M24" s="28" t="s">
        <v>309</v>
      </c>
      <c r="N24" s="28"/>
      <c r="O24" s="28" t="s">
        <v>309</v>
      </c>
      <c r="P24" s="28" t="s">
        <v>309</v>
      </c>
      <c r="Q24" s="28" t="s">
        <v>309</v>
      </c>
      <c r="R24" s="28" t="s">
        <v>309</v>
      </c>
      <c r="S24" s="28" t="s">
        <v>309</v>
      </c>
      <c r="T24" s="28" t="s">
        <v>309</v>
      </c>
      <c r="U24" s="28"/>
      <c r="V24" s="28" t="s">
        <v>227</v>
      </c>
      <c r="W24" s="28" t="s">
        <v>309</v>
      </c>
      <c r="X24" s="28" t="s">
        <v>227</v>
      </c>
      <c r="Y24" s="28" t="s">
        <v>309</v>
      </c>
      <c r="Z24" s="28" t="s">
        <v>309</v>
      </c>
      <c r="AA24" s="28" t="s">
        <v>309</v>
      </c>
      <c r="AB24" s="28"/>
      <c r="AC24" s="28" t="s">
        <v>309</v>
      </c>
      <c r="AD24" s="28" t="s">
        <v>309</v>
      </c>
      <c r="AE24" s="28" t="s">
        <v>309</v>
      </c>
      <c r="AF24" s="28" t="s">
        <v>309</v>
      </c>
      <c r="AG24" s="28" t="s">
        <v>309</v>
      </c>
      <c r="AH24" s="28" t="s">
        <v>309</v>
      </c>
      <c r="AI24" s="28"/>
      <c r="AJ24" s="28" t="s">
        <v>309</v>
      </c>
      <c r="AK24" s="28" t="s">
        <v>309</v>
      </c>
      <c r="AN24" s="16" t="s">
        <v>483</v>
      </c>
      <c r="AO24" s="16" t="s">
        <v>263</v>
      </c>
      <c r="AP24" s="28">
        <f t="shared" si="9"/>
        <v>22</v>
      </c>
      <c r="AQ24" s="28">
        <f t="shared" si="10"/>
        <v>4</v>
      </c>
      <c r="AR24" s="28">
        <f t="shared" si="2"/>
        <v>31</v>
      </c>
      <c r="AS24" s="28">
        <f t="shared" si="3"/>
        <v>27</v>
      </c>
      <c r="AT24" s="28">
        <v>42800</v>
      </c>
      <c r="AU24" s="28">
        <f t="shared" si="4"/>
        <v>2140</v>
      </c>
      <c r="AV24" s="84">
        <f t="shared" si="5"/>
        <v>1380.6451612903227</v>
      </c>
      <c r="AW24" s="28">
        <f t="shared" si="6"/>
        <v>4280</v>
      </c>
      <c r="AX24" s="84">
        <f t="shared" si="7"/>
        <v>37277.419354838712</v>
      </c>
      <c r="AY24" s="84">
        <f t="shared" si="8"/>
        <v>39417.419354838712</v>
      </c>
    </row>
    <row r="25" spans="1:51" x14ac:dyDescent="0.35">
      <c r="A25" s="31">
        <v>17</v>
      </c>
      <c r="B25" s="32" t="s">
        <v>220</v>
      </c>
      <c r="C25" s="23" t="s">
        <v>264</v>
      </c>
      <c r="D25" s="37" t="s">
        <v>268</v>
      </c>
      <c r="E25" s="41">
        <v>4919</v>
      </c>
      <c r="F25" s="42">
        <v>17</v>
      </c>
      <c r="G25" s="28"/>
      <c r="H25" s="28" t="s">
        <v>309</v>
      </c>
      <c r="I25" s="28" t="s">
        <v>227</v>
      </c>
      <c r="J25" s="28" t="s">
        <v>309</v>
      </c>
      <c r="K25" s="28" t="s">
        <v>309</v>
      </c>
      <c r="L25" s="28" t="s">
        <v>309</v>
      </c>
      <c r="M25" s="28" t="s">
        <v>309</v>
      </c>
      <c r="N25" s="28"/>
      <c r="O25" s="28" t="s">
        <v>309</v>
      </c>
      <c r="P25" s="28" t="s">
        <v>309</v>
      </c>
      <c r="Q25" s="28" t="s">
        <v>309</v>
      </c>
      <c r="R25" s="28" t="s">
        <v>309</v>
      </c>
      <c r="S25" s="28" t="s">
        <v>309</v>
      </c>
      <c r="T25" s="28" t="s">
        <v>309</v>
      </c>
      <c r="U25" s="28"/>
      <c r="V25" s="28" t="s">
        <v>309</v>
      </c>
      <c r="W25" s="28" t="s">
        <v>309</v>
      </c>
      <c r="X25" s="28" t="s">
        <v>309</v>
      </c>
      <c r="Y25" s="28" t="s">
        <v>309</v>
      </c>
      <c r="Z25" s="28" t="s">
        <v>309</v>
      </c>
      <c r="AA25" s="28" t="s">
        <v>309</v>
      </c>
      <c r="AB25" s="28"/>
      <c r="AC25" s="28" t="s">
        <v>309</v>
      </c>
      <c r="AD25" s="28" t="s">
        <v>309</v>
      </c>
      <c r="AE25" s="28" t="s">
        <v>309</v>
      </c>
      <c r="AF25" s="28" t="s">
        <v>309</v>
      </c>
      <c r="AG25" s="28" t="s">
        <v>227</v>
      </c>
      <c r="AH25" s="28" t="s">
        <v>309</v>
      </c>
      <c r="AI25" s="28"/>
      <c r="AJ25" s="28" t="s">
        <v>309</v>
      </c>
      <c r="AK25" s="28" t="s">
        <v>309</v>
      </c>
      <c r="AN25" s="16" t="s">
        <v>484</v>
      </c>
      <c r="AO25" s="16" t="s">
        <v>264</v>
      </c>
      <c r="AP25" s="28">
        <f t="shared" si="9"/>
        <v>24</v>
      </c>
      <c r="AQ25" s="28">
        <f t="shared" si="10"/>
        <v>2</v>
      </c>
      <c r="AR25" s="28">
        <f t="shared" si="2"/>
        <v>31</v>
      </c>
      <c r="AS25" s="28">
        <f t="shared" si="3"/>
        <v>29</v>
      </c>
      <c r="AT25" s="28">
        <v>32900</v>
      </c>
      <c r="AU25" s="28">
        <f t="shared" si="4"/>
        <v>1645</v>
      </c>
      <c r="AV25" s="84">
        <f t="shared" si="5"/>
        <v>1061.2903225806451</v>
      </c>
      <c r="AW25" s="28">
        <f t="shared" si="6"/>
        <v>3290</v>
      </c>
      <c r="AX25" s="84">
        <f t="shared" si="7"/>
        <v>30777.419354838708</v>
      </c>
      <c r="AY25" s="84">
        <f t="shared" si="8"/>
        <v>32422.419354838712</v>
      </c>
    </row>
    <row r="26" spans="1:51" x14ac:dyDescent="0.35">
      <c r="A26" s="31">
        <v>18</v>
      </c>
      <c r="B26" s="32" t="s">
        <v>244</v>
      </c>
      <c r="C26" s="23" t="s">
        <v>265</v>
      </c>
      <c r="D26" s="37" t="s">
        <v>268</v>
      </c>
      <c r="E26" s="41">
        <v>4906</v>
      </c>
      <c r="F26" s="42">
        <v>18</v>
      </c>
      <c r="G26" s="28"/>
      <c r="H26" s="28" t="s">
        <v>309</v>
      </c>
      <c r="I26" s="28" t="s">
        <v>309</v>
      </c>
      <c r="J26" s="28" t="s">
        <v>309</v>
      </c>
      <c r="K26" s="28" t="s">
        <v>309</v>
      </c>
      <c r="L26" s="28" t="s">
        <v>309</v>
      </c>
      <c r="M26" s="28" t="s">
        <v>309</v>
      </c>
      <c r="N26" s="28"/>
      <c r="O26" s="28" t="s">
        <v>309</v>
      </c>
      <c r="P26" s="28" t="s">
        <v>309</v>
      </c>
      <c r="Q26" s="28" t="s">
        <v>309</v>
      </c>
      <c r="R26" s="28" t="s">
        <v>309</v>
      </c>
      <c r="S26" s="28" t="s">
        <v>309</v>
      </c>
      <c r="T26" s="28" t="s">
        <v>309</v>
      </c>
      <c r="U26" s="28"/>
      <c r="V26" s="28" t="s">
        <v>309</v>
      </c>
      <c r="W26" s="28" t="s">
        <v>309</v>
      </c>
      <c r="X26" s="28" t="s">
        <v>309</v>
      </c>
      <c r="Y26" s="28" t="s">
        <v>309</v>
      </c>
      <c r="Z26" s="28" t="s">
        <v>227</v>
      </c>
      <c r="AA26" s="28" t="s">
        <v>309</v>
      </c>
      <c r="AB26" s="28"/>
      <c r="AC26" s="28" t="s">
        <v>309</v>
      </c>
      <c r="AD26" s="28" t="s">
        <v>309</v>
      </c>
      <c r="AE26" s="28" t="s">
        <v>227</v>
      </c>
      <c r="AF26" s="28" t="s">
        <v>309</v>
      </c>
      <c r="AG26" s="28" t="s">
        <v>309</v>
      </c>
      <c r="AH26" s="28" t="s">
        <v>309</v>
      </c>
      <c r="AI26" s="28"/>
      <c r="AJ26" s="28" t="s">
        <v>309</v>
      </c>
      <c r="AK26" s="28" t="s">
        <v>227</v>
      </c>
      <c r="AN26" s="16" t="s">
        <v>485</v>
      </c>
      <c r="AO26" s="16" t="s">
        <v>265</v>
      </c>
      <c r="AP26" s="28">
        <f t="shared" si="9"/>
        <v>23</v>
      </c>
      <c r="AQ26" s="28">
        <f t="shared" si="10"/>
        <v>3</v>
      </c>
      <c r="AR26" s="28">
        <f t="shared" si="2"/>
        <v>31</v>
      </c>
      <c r="AS26" s="28">
        <f t="shared" si="3"/>
        <v>28</v>
      </c>
      <c r="AT26" s="28">
        <v>38300</v>
      </c>
      <c r="AU26" s="28">
        <f t="shared" si="4"/>
        <v>1915</v>
      </c>
      <c r="AV26" s="84">
        <f t="shared" si="5"/>
        <v>1235.483870967742</v>
      </c>
      <c r="AW26" s="28">
        <f t="shared" si="6"/>
        <v>3830</v>
      </c>
      <c r="AX26" s="84">
        <f t="shared" si="7"/>
        <v>34593.548387096773</v>
      </c>
      <c r="AY26" s="84">
        <f t="shared" si="8"/>
        <v>36508.548387096773</v>
      </c>
    </row>
    <row r="27" spans="1:51" x14ac:dyDescent="0.35">
      <c r="A27" s="31">
        <v>19</v>
      </c>
      <c r="B27" s="32" t="s">
        <v>246</v>
      </c>
      <c r="C27" s="23" t="s">
        <v>266</v>
      </c>
      <c r="D27" s="37" t="s">
        <v>268</v>
      </c>
      <c r="E27" s="41">
        <v>4565</v>
      </c>
      <c r="F27" s="42">
        <v>19</v>
      </c>
      <c r="G27" s="28"/>
      <c r="H27" s="28" t="s">
        <v>309</v>
      </c>
      <c r="I27" s="28" t="s">
        <v>309</v>
      </c>
      <c r="J27" s="28" t="s">
        <v>227</v>
      </c>
      <c r="K27" s="28" t="s">
        <v>309</v>
      </c>
      <c r="L27" s="28" t="s">
        <v>309</v>
      </c>
      <c r="M27" s="28" t="s">
        <v>227</v>
      </c>
      <c r="N27" s="28"/>
      <c r="O27" s="28" t="s">
        <v>309</v>
      </c>
      <c r="P27" s="28" t="s">
        <v>309</v>
      </c>
      <c r="Q27" s="28" t="s">
        <v>309</v>
      </c>
      <c r="R27" s="28" t="s">
        <v>309</v>
      </c>
      <c r="S27" s="28" t="s">
        <v>309</v>
      </c>
      <c r="T27" s="28" t="s">
        <v>309</v>
      </c>
      <c r="U27" s="28"/>
      <c r="V27" s="28" t="s">
        <v>309</v>
      </c>
      <c r="W27" s="28" t="s">
        <v>309</v>
      </c>
      <c r="X27" s="28" t="s">
        <v>309</v>
      </c>
      <c r="Y27" s="28" t="s">
        <v>309</v>
      </c>
      <c r="Z27" s="28" t="s">
        <v>309</v>
      </c>
      <c r="AA27" s="28" t="s">
        <v>309</v>
      </c>
      <c r="AB27" s="28"/>
      <c r="AC27" s="28" t="s">
        <v>309</v>
      </c>
      <c r="AD27" s="28" t="s">
        <v>227</v>
      </c>
      <c r="AE27" s="28" t="s">
        <v>309</v>
      </c>
      <c r="AF27" s="28" t="s">
        <v>309</v>
      </c>
      <c r="AG27" s="28" t="s">
        <v>227</v>
      </c>
      <c r="AH27" s="28" t="s">
        <v>309</v>
      </c>
      <c r="AI27" s="28"/>
      <c r="AJ27" s="28" t="s">
        <v>309</v>
      </c>
      <c r="AK27" s="28" t="s">
        <v>309</v>
      </c>
      <c r="AN27" s="16" t="s">
        <v>486</v>
      </c>
      <c r="AO27" s="16" t="s">
        <v>266</v>
      </c>
      <c r="AP27" s="28">
        <f t="shared" si="9"/>
        <v>22</v>
      </c>
      <c r="AQ27" s="28">
        <f t="shared" si="10"/>
        <v>4</v>
      </c>
      <c r="AR27" s="28">
        <f t="shared" si="2"/>
        <v>31</v>
      </c>
      <c r="AS27" s="28">
        <f t="shared" si="3"/>
        <v>27</v>
      </c>
      <c r="AT27" s="28">
        <v>40000</v>
      </c>
      <c r="AU27" s="28">
        <f t="shared" si="4"/>
        <v>2000</v>
      </c>
      <c r="AV27" s="84">
        <f t="shared" si="5"/>
        <v>1290.3225806451612</v>
      </c>
      <c r="AW27" s="28">
        <f t="shared" si="6"/>
        <v>4000</v>
      </c>
      <c r="AX27" s="84">
        <f t="shared" si="7"/>
        <v>34838.709677419356</v>
      </c>
      <c r="AY27" s="84">
        <f t="shared" si="8"/>
        <v>36838.709677419356</v>
      </c>
    </row>
    <row r="28" spans="1:51" x14ac:dyDescent="0.35">
      <c r="A28" s="31">
        <v>20</v>
      </c>
      <c r="B28" s="32" t="s">
        <v>113</v>
      </c>
      <c r="C28" s="23" t="s">
        <v>267</v>
      </c>
      <c r="D28" s="37" t="s">
        <v>268</v>
      </c>
      <c r="E28" s="41">
        <v>4365</v>
      </c>
      <c r="F28" s="42">
        <v>20</v>
      </c>
      <c r="G28" s="28"/>
      <c r="H28" s="28" t="s">
        <v>309</v>
      </c>
      <c r="I28" s="28" t="s">
        <v>309</v>
      </c>
      <c r="J28" s="28" t="s">
        <v>309</v>
      </c>
      <c r="K28" s="28" t="s">
        <v>309</v>
      </c>
      <c r="L28" s="28" t="s">
        <v>309</v>
      </c>
      <c r="M28" s="28" t="s">
        <v>309</v>
      </c>
      <c r="N28" s="28"/>
      <c r="O28" s="28" t="s">
        <v>309</v>
      </c>
      <c r="P28" s="28" t="s">
        <v>309</v>
      </c>
      <c r="Q28" s="28" t="s">
        <v>309</v>
      </c>
      <c r="R28" s="28" t="s">
        <v>309</v>
      </c>
      <c r="S28" s="28" t="s">
        <v>309</v>
      </c>
      <c r="T28" s="28" t="s">
        <v>309</v>
      </c>
      <c r="U28" s="28"/>
      <c r="V28" s="28" t="s">
        <v>309</v>
      </c>
      <c r="W28" s="28" t="s">
        <v>309</v>
      </c>
      <c r="X28" s="28" t="s">
        <v>309</v>
      </c>
      <c r="Y28" s="28" t="s">
        <v>309</v>
      </c>
      <c r="Z28" s="28" t="s">
        <v>309</v>
      </c>
      <c r="AA28" s="28" t="s">
        <v>309</v>
      </c>
      <c r="AB28" s="28"/>
      <c r="AC28" s="28" t="s">
        <v>309</v>
      </c>
      <c r="AD28" s="28" t="s">
        <v>309</v>
      </c>
      <c r="AE28" s="28" t="s">
        <v>309</v>
      </c>
      <c r="AF28" s="28" t="s">
        <v>309</v>
      </c>
      <c r="AG28" s="28" t="s">
        <v>309</v>
      </c>
      <c r="AH28" s="28" t="s">
        <v>309</v>
      </c>
      <c r="AI28" s="28"/>
      <c r="AJ28" s="28" t="s">
        <v>309</v>
      </c>
      <c r="AK28" s="28" t="s">
        <v>227</v>
      </c>
      <c r="AN28" s="16" t="s">
        <v>487</v>
      </c>
      <c r="AO28" s="16" t="s">
        <v>267</v>
      </c>
      <c r="AP28" s="28">
        <f t="shared" si="9"/>
        <v>25</v>
      </c>
      <c r="AQ28" s="28">
        <f t="shared" si="10"/>
        <v>1</v>
      </c>
      <c r="AR28" s="28">
        <f t="shared" si="2"/>
        <v>31</v>
      </c>
      <c r="AS28" s="28">
        <f t="shared" si="3"/>
        <v>30</v>
      </c>
      <c r="AT28" s="28">
        <v>42900</v>
      </c>
      <c r="AU28" s="28">
        <f t="shared" si="4"/>
        <v>2145</v>
      </c>
      <c r="AV28" s="84">
        <f t="shared" si="5"/>
        <v>1383.8709677419354</v>
      </c>
      <c r="AW28" s="28">
        <f t="shared" si="6"/>
        <v>4290</v>
      </c>
      <c r="AX28" s="84">
        <f t="shared" si="7"/>
        <v>41516.129032258061</v>
      </c>
      <c r="AY28" s="84">
        <f t="shared" si="8"/>
        <v>43661.129032258061</v>
      </c>
    </row>
  </sheetData>
  <sortState xmlns:xlrd2="http://schemas.microsoft.com/office/spreadsheetml/2017/richdata2" ref="B9:B28">
    <sortCondition ref="B9"/>
  </sortState>
  <dataConsolidate/>
  <mergeCells count="2">
    <mergeCell ref="F2:G2"/>
    <mergeCell ref="I2:K2"/>
  </mergeCells>
  <phoneticPr fontId="29" type="noConversion"/>
  <conditionalFormatting sqref="G9:AJ28">
    <cfRule type="expression" dxfId="2" priority="1">
      <formula>G$8="SUN"</formula>
    </cfRule>
  </conditionalFormatting>
  <conditionalFormatting sqref="O10:AK28">
    <cfRule type="expression" dxfId="1" priority="2">
      <formula>O$8="SUN"</formula>
    </cfRule>
  </conditionalFormatting>
  <dataValidations count="3">
    <dataValidation type="list" allowBlank="1" showInputMessage="1" showErrorMessage="1" sqref="C2" xr:uid="{00000000-0002-0000-0C00-000000000000}">
      <formula1>"jan,feb,mar,apr,may,jun,jul,aug,sep,oct,nov,dec"</formula1>
    </dataValidation>
    <dataValidation type="list" allowBlank="1" showInputMessage="1" showErrorMessage="1" sqref="C3" xr:uid="{00000000-0002-0000-0C00-000001000000}">
      <formula1>"2021,2022,2023,2024,2025,2026,2027,2028"</formula1>
    </dataValidation>
    <dataValidation type="custom" allowBlank="1" showInputMessage="1" showErrorMessage="1" errorTitle="Invalid" error="Sunday is OFF" sqref="G9:AK28" xr:uid="{00000000-0002-0000-0C00-000002000000}">
      <formula1>G$8&lt;&gt;"sun"</formula1>
    </dataValidation>
  </dataValidation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BE23D-558C-48BC-931B-BB7F10889510}">
  <sheetPr codeName="Sheet17">
    <tabColor rgb="FF00B050"/>
  </sheetPr>
  <dimension ref="A1:J28"/>
  <sheetViews>
    <sheetView view="pageLayout" topLeftCell="A10" zoomScaleNormal="100" workbookViewId="0">
      <selection sqref="A1:J5"/>
    </sheetView>
  </sheetViews>
  <sheetFormatPr defaultRowHeight="14.5" x14ac:dyDescent="0.35"/>
  <sheetData>
    <row r="1" spans="1:10" x14ac:dyDescent="0.35">
      <c r="A1" s="183" t="s">
        <v>490</v>
      </c>
      <c r="B1" s="153"/>
      <c r="C1" s="153"/>
      <c r="D1" s="153"/>
      <c r="E1" s="153"/>
      <c r="F1" s="153"/>
      <c r="G1" s="153"/>
      <c r="H1" s="153"/>
      <c r="I1" s="153"/>
      <c r="J1" s="153"/>
    </row>
    <row r="2" spans="1:10" x14ac:dyDescent="0.35">
      <c r="A2" s="153"/>
      <c r="B2" s="153"/>
      <c r="C2" s="153"/>
      <c r="D2" s="153"/>
      <c r="E2" s="153"/>
      <c r="F2" s="153"/>
      <c r="G2" s="153"/>
      <c r="H2" s="153"/>
      <c r="I2" s="153"/>
      <c r="J2" s="153"/>
    </row>
    <row r="3" spans="1:10" x14ac:dyDescent="0.35">
      <c r="A3" s="153"/>
      <c r="B3" s="153"/>
      <c r="C3" s="153"/>
      <c r="D3" s="153"/>
      <c r="E3" s="153"/>
      <c r="F3" s="153"/>
      <c r="G3" s="153"/>
      <c r="H3" s="153"/>
      <c r="I3" s="153"/>
      <c r="J3" s="153"/>
    </row>
    <row r="4" spans="1:10" x14ac:dyDescent="0.35">
      <c r="A4" s="153"/>
      <c r="B4" s="153"/>
      <c r="C4" s="153"/>
      <c r="D4" s="153"/>
      <c r="E4" s="153"/>
      <c r="F4" s="153"/>
      <c r="G4" s="153"/>
      <c r="H4" s="153"/>
      <c r="I4" s="153"/>
      <c r="J4" s="153"/>
    </row>
    <row r="5" spans="1:10" x14ac:dyDescent="0.35">
      <c r="A5" s="153"/>
      <c r="B5" s="153"/>
      <c r="C5" s="153"/>
      <c r="D5" s="153"/>
      <c r="E5" s="153"/>
      <c r="F5" s="153"/>
      <c r="G5" s="153"/>
      <c r="H5" s="153"/>
      <c r="I5" s="153"/>
      <c r="J5" s="153"/>
    </row>
    <row r="6" spans="1:10" x14ac:dyDescent="0.35">
      <c r="A6" s="184" t="s">
        <v>491</v>
      </c>
      <c r="B6" s="184"/>
      <c r="C6" s="184"/>
      <c r="D6" s="184"/>
      <c r="E6" s="184"/>
      <c r="F6" s="184"/>
      <c r="G6" s="184"/>
      <c r="H6" s="184"/>
      <c r="I6" s="184"/>
      <c r="J6" s="184"/>
    </row>
    <row r="7" spans="1:10" x14ac:dyDescent="0.35">
      <c r="A7" s="184"/>
      <c r="B7" s="184"/>
      <c r="C7" s="184"/>
      <c r="D7" s="184"/>
      <c r="E7" s="184"/>
      <c r="F7" s="184"/>
      <c r="G7" s="184"/>
      <c r="H7" s="184"/>
      <c r="I7" s="184"/>
      <c r="J7" s="184"/>
    </row>
    <row r="8" spans="1:10" x14ac:dyDescent="0.35">
      <c r="A8" s="185" t="s">
        <v>488</v>
      </c>
      <c r="B8" s="185"/>
      <c r="C8" s="185"/>
      <c r="D8" s="185">
        <f>'ATTENDANCE SHEET &amp; SALARY SHEET'!C3</f>
        <v>2023</v>
      </c>
      <c r="E8" s="185"/>
      <c r="F8" s="185" t="s">
        <v>489</v>
      </c>
      <c r="G8" s="185"/>
      <c r="H8" s="185"/>
      <c r="I8" s="185" t="str">
        <f>UPPER('ATTENDANCE SHEET &amp; SALARY SHEET'!C2)</f>
        <v>JAN</v>
      </c>
      <c r="J8" s="185"/>
    </row>
    <row r="9" spans="1:10" x14ac:dyDescent="0.35">
      <c r="A9" s="185"/>
      <c r="B9" s="185"/>
      <c r="C9" s="185"/>
      <c r="D9" s="185"/>
      <c r="E9" s="185"/>
      <c r="F9" s="185"/>
      <c r="G9" s="185"/>
      <c r="H9" s="185"/>
      <c r="I9" s="185"/>
      <c r="J9" s="185"/>
    </row>
    <row r="10" spans="1:10" x14ac:dyDescent="0.35">
      <c r="A10" s="178" t="s">
        <v>466</v>
      </c>
      <c r="B10" s="178"/>
      <c r="C10" s="178"/>
      <c r="D10" s="178" t="s">
        <v>485</v>
      </c>
      <c r="E10" s="178"/>
      <c r="F10" s="178" t="s">
        <v>435</v>
      </c>
      <c r="G10" s="178"/>
      <c r="H10" s="178" t="str">
        <f>UPPER(VLOOKUP(D10,DATA,2,0))</f>
        <v>DENASH</v>
      </c>
      <c r="I10" s="178"/>
      <c r="J10" s="178"/>
    </row>
    <row r="11" spans="1:10" x14ac:dyDescent="0.35">
      <c r="A11" s="178"/>
      <c r="B11" s="178"/>
      <c r="C11" s="178"/>
      <c r="D11" s="178"/>
      <c r="E11" s="178"/>
      <c r="F11" s="178"/>
      <c r="G11" s="178"/>
      <c r="H11" s="178"/>
      <c r="I11" s="178"/>
      <c r="J11" s="178"/>
    </row>
    <row r="12" spans="1:10" x14ac:dyDescent="0.35">
      <c r="A12" s="181" t="s">
        <v>492</v>
      </c>
      <c r="B12" s="181"/>
      <c r="C12" s="181"/>
      <c r="D12" s="181">
        <f>VLOOKUP(D10,DATA,3)</f>
        <v>23</v>
      </c>
      <c r="E12" s="181"/>
      <c r="F12" s="181" t="s">
        <v>305</v>
      </c>
      <c r="G12" s="181"/>
      <c r="H12" s="182">
        <f>VLOOKUP(D10,DATA,7,0)</f>
        <v>38300</v>
      </c>
      <c r="I12" s="182"/>
      <c r="J12" s="182"/>
    </row>
    <row r="13" spans="1:10" x14ac:dyDescent="0.35">
      <c r="A13" s="181" t="s">
        <v>493</v>
      </c>
      <c r="B13" s="181"/>
      <c r="C13" s="181"/>
      <c r="D13" s="181">
        <f>VLOOKUP(D10,DATA,4,0)</f>
        <v>3</v>
      </c>
      <c r="E13" s="181"/>
      <c r="F13" s="181"/>
      <c r="G13" s="181"/>
      <c r="H13" s="182"/>
      <c r="I13" s="182"/>
      <c r="J13" s="182"/>
    </row>
    <row r="14" spans="1:10" x14ac:dyDescent="0.35">
      <c r="A14" s="181" t="s">
        <v>494</v>
      </c>
      <c r="B14" s="181"/>
      <c r="C14" s="181"/>
      <c r="D14" s="181">
        <f>VLOOKUP(D10,DATA,6,0)</f>
        <v>28</v>
      </c>
      <c r="E14" s="181"/>
      <c r="F14" s="153" t="s">
        <v>303</v>
      </c>
      <c r="G14" s="153"/>
      <c r="H14" s="153">
        <f>VLOOKUP(D10,DATA,5,0)</f>
        <v>31</v>
      </c>
      <c r="I14" s="153"/>
      <c r="J14" s="153"/>
    </row>
    <row r="15" spans="1:10" x14ac:dyDescent="0.35">
      <c r="A15" s="179" t="s">
        <v>495</v>
      </c>
      <c r="B15" s="179"/>
      <c r="C15" s="179"/>
      <c r="D15" s="179"/>
      <c r="E15" s="179"/>
      <c r="F15" s="179" t="s">
        <v>496</v>
      </c>
      <c r="G15" s="179"/>
      <c r="H15" s="179"/>
      <c r="I15" s="179"/>
      <c r="J15" s="179"/>
    </row>
    <row r="16" spans="1:10" x14ac:dyDescent="0.35">
      <c r="A16" s="179"/>
      <c r="B16" s="179"/>
      <c r="C16" s="179"/>
      <c r="D16" s="179"/>
      <c r="E16" s="179"/>
      <c r="F16" s="179"/>
      <c r="G16" s="179"/>
      <c r="H16" s="179"/>
      <c r="I16" s="179"/>
      <c r="J16" s="179"/>
    </row>
    <row r="17" spans="1:10" ht="15.5" x14ac:dyDescent="0.35">
      <c r="A17" s="180" t="s">
        <v>497</v>
      </c>
      <c r="B17" s="180"/>
      <c r="C17" s="180"/>
      <c r="D17" s="177">
        <f>H12*12%</f>
        <v>4596</v>
      </c>
      <c r="E17" s="177"/>
      <c r="F17" s="176" t="s">
        <v>500</v>
      </c>
      <c r="G17" s="176"/>
      <c r="H17" s="176"/>
      <c r="I17" s="177">
        <f>H12*15.5%</f>
        <v>5936.5</v>
      </c>
      <c r="J17" s="177"/>
    </row>
    <row r="18" spans="1:10" ht="15.5" x14ac:dyDescent="0.35">
      <c r="A18" s="176" t="s">
        <v>498</v>
      </c>
      <c r="B18" s="176"/>
      <c r="C18" s="176"/>
      <c r="D18" s="177">
        <v>700</v>
      </c>
      <c r="E18" s="177"/>
      <c r="F18" s="176" t="s">
        <v>501</v>
      </c>
      <c r="G18" s="176"/>
      <c r="H18" s="176"/>
      <c r="I18" s="177">
        <f>H12*8%</f>
        <v>3064</v>
      </c>
      <c r="J18" s="177"/>
    </row>
    <row r="19" spans="1:10" ht="15.5" x14ac:dyDescent="0.35">
      <c r="A19" s="180" t="s">
        <v>499</v>
      </c>
      <c r="B19" s="180"/>
      <c r="C19" s="180"/>
      <c r="D19" s="177">
        <v>1200</v>
      </c>
      <c r="E19" s="177"/>
      <c r="F19" s="176" t="s">
        <v>502</v>
      </c>
      <c r="G19" s="176"/>
      <c r="H19" s="176"/>
      <c r="I19" s="177">
        <f>H12*5.5%</f>
        <v>2106.5</v>
      </c>
      <c r="J19" s="177"/>
    </row>
    <row r="20" spans="1:10" x14ac:dyDescent="0.35">
      <c r="E20" s="178" t="s">
        <v>503</v>
      </c>
      <c r="F20" s="178"/>
      <c r="G20" s="178"/>
      <c r="H20" s="178">
        <f>H12+I17+I18+I19-D17-D18-D19</f>
        <v>42911</v>
      </c>
      <c r="I20" s="178"/>
      <c r="J20" s="178"/>
    </row>
    <row r="21" spans="1:10" x14ac:dyDescent="0.35">
      <c r="E21" s="178"/>
      <c r="F21" s="178"/>
      <c r="G21" s="178"/>
      <c r="H21" s="178"/>
      <c r="I21" s="178"/>
      <c r="J21" s="178"/>
    </row>
    <row r="23" spans="1:10" ht="15" thickBot="1" x14ac:dyDescent="0.4"/>
    <row r="24" spans="1:10" x14ac:dyDescent="0.35">
      <c r="F24" s="135"/>
      <c r="G24" s="136"/>
      <c r="H24" s="136"/>
      <c r="I24" s="136"/>
      <c r="J24" s="137"/>
    </row>
    <row r="25" spans="1:10" x14ac:dyDescent="0.35">
      <c r="F25" s="138"/>
      <c r="J25" s="139"/>
    </row>
    <row r="26" spans="1:10" x14ac:dyDescent="0.35">
      <c r="F26" s="138"/>
      <c r="J26" s="139"/>
    </row>
    <row r="27" spans="1:10" x14ac:dyDescent="0.35">
      <c r="F27" s="138"/>
      <c r="G27" s="172" t="s">
        <v>504</v>
      </c>
      <c r="H27" s="172"/>
      <c r="I27" s="172"/>
      <c r="J27" s="173"/>
    </row>
    <row r="28" spans="1:10" ht="15" thickBot="1" x14ac:dyDescent="0.4">
      <c r="F28" s="140"/>
      <c r="G28" s="174" t="s">
        <v>505</v>
      </c>
      <c r="H28" s="174"/>
      <c r="I28" s="174"/>
      <c r="J28" s="175"/>
    </row>
  </sheetData>
  <mergeCells count="38">
    <mergeCell ref="A1:J5"/>
    <mergeCell ref="A6:J7"/>
    <mergeCell ref="A8:C9"/>
    <mergeCell ref="D8:E9"/>
    <mergeCell ref="F8:H9"/>
    <mergeCell ref="I8:J9"/>
    <mergeCell ref="F10:G11"/>
    <mergeCell ref="H10:J11"/>
    <mergeCell ref="A12:C12"/>
    <mergeCell ref="A13:C13"/>
    <mergeCell ref="D12:E12"/>
    <mergeCell ref="D13:E13"/>
    <mergeCell ref="A10:C11"/>
    <mergeCell ref="D10:E11"/>
    <mergeCell ref="A14:C14"/>
    <mergeCell ref="D14:E14"/>
    <mergeCell ref="F12:G13"/>
    <mergeCell ref="H12:J13"/>
    <mergeCell ref="F14:G14"/>
    <mergeCell ref="H14:J14"/>
    <mergeCell ref="A15:E16"/>
    <mergeCell ref="F15:J16"/>
    <mergeCell ref="A17:C17"/>
    <mergeCell ref="A18:C18"/>
    <mergeCell ref="A19:C19"/>
    <mergeCell ref="D17:E17"/>
    <mergeCell ref="D18:E18"/>
    <mergeCell ref="D19:E19"/>
    <mergeCell ref="F17:H17"/>
    <mergeCell ref="F18:H18"/>
    <mergeCell ref="G27:J27"/>
    <mergeCell ref="G28:J28"/>
    <mergeCell ref="F19:H19"/>
    <mergeCell ref="I17:J17"/>
    <mergeCell ref="I18:J18"/>
    <mergeCell ref="I19:J19"/>
    <mergeCell ref="E20:G21"/>
    <mergeCell ref="H20:J2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19F15AB-D10E-400F-813D-0C0FB517EB9D}">
          <x14:formula1>
            <xm:f>'ATTENDANCE SHEET &amp; SALARY SHEET'!$AN$9:$AN$28</xm:f>
          </x14:formula1>
          <xm:sqref>D10:E11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rgb="FF0070C0"/>
  </sheetPr>
  <dimension ref="B2:S26"/>
  <sheetViews>
    <sheetView zoomScale="80" zoomScaleNormal="80" workbookViewId="0">
      <selection activeCell="G9" sqref="G8:G15"/>
    </sheetView>
  </sheetViews>
  <sheetFormatPr defaultColWidth="9.1796875" defaultRowHeight="21" x14ac:dyDescent="0.5"/>
  <cols>
    <col min="1" max="1" width="9.1796875" style="1"/>
    <col min="2" max="2" width="15.26953125" style="1" bestFit="1" customWidth="1"/>
    <col min="3" max="3" width="10.81640625" style="1" bestFit="1" customWidth="1"/>
    <col min="4" max="5" width="9.1796875" style="1"/>
    <col min="6" max="7" width="12.26953125" style="1" customWidth="1"/>
    <col min="8" max="8" width="14.26953125" style="1" bestFit="1" customWidth="1"/>
    <col min="9" max="9" width="10.54296875" style="1" customWidth="1"/>
    <col min="10" max="10" width="11.81640625" style="1" bestFit="1" customWidth="1"/>
    <col min="11" max="11" width="20.26953125" style="1" bestFit="1" customWidth="1"/>
    <col min="12" max="12" width="10.7265625" style="1" bestFit="1" customWidth="1"/>
    <col min="13" max="13" width="17.1796875" style="1" bestFit="1" customWidth="1"/>
    <col min="14" max="14" width="18.26953125" style="1" customWidth="1"/>
    <col min="15" max="15" width="26" style="1" bestFit="1" customWidth="1"/>
    <col min="16" max="16" width="10.7265625" style="1" bestFit="1" customWidth="1"/>
    <col min="17" max="17" width="13.54296875" style="1" bestFit="1" customWidth="1"/>
    <col min="18" max="18" width="15.26953125" style="1" bestFit="1" customWidth="1"/>
    <col min="19" max="16384" width="9.1796875" style="1"/>
  </cols>
  <sheetData>
    <row r="2" spans="2:19" x14ac:dyDescent="0.5">
      <c r="D2" s="186" t="s">
        <v>272</v>
      </c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</row>
    <row r="3" spans="2:19" x14ac:dyDescent="0.5"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</row>
    <row r="4" spans="2:19" x14ac:dyDescent="0.5"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</row>
    <row r="5" spans="2:19" x14ac:dyDescent="0.5"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</row>
    <row r="8" spans="2:19" x14ac:dyDescent="0.5">
      <c r="F8" s="50" t="s">
        <v>86</v>
      </c>
      <c r="G8" s="50" t="s">
        <v>429</v>
      </c>
      <c r="H8" s="50" t="s">
        <v>273</v>
      </c>
      <c r="I8" s="50" t="s">
        <v>274</v>
      </c>
      <c r="J8" s="50" t="s">
        <v>275</v>
      </c>
      <c r="K8" s="50" t="s">
        <v>276</v>
      </c>
      <c r="L8" s="50" t="s">
        <v>277</v>
      </c>
      <c r="M8" s="50" t="s">
        <v>316</v>
      </c>
      <c r="N8" s="50" t="s">
        <v>318</v>
      </c>
      <c r="O8" s="50" t="s">
        <v>317</v>
      </c>
      <c r="P8" s="50" t="s">
        <v>327</v>
      </c>
      <c r="Q8" s="50" t="s">
        <v>434</v>
      </c>
      <c r="R8" s="50" t="s">
        <v>326</v>
      </c>
    </row>
    <row r="9" spans="2:19" x14ac:dyDescent="0.5">
      <c r="B9" s="143" t="s">
        <v>319</v>
      </c>
      <c r="C9" s="143"/>
      <c r="F9" s="51" t="s">
        <v>278</v>
      </c>
      <c r="G9" s="51" t="s">
        <v>430</v>
      </c>
      <c r="H9" s="53">
        <v>1452</v>
      </c>
      <c r="I9" s="54">
        <v>4547</v>
      </c>
      <c r="J9" s="55">
        <v>4200</v>
      </c>
      <c r="K9" s="52">
        <f>I9-J9</f>
        <v>347</v>
      </c>
      <c r="L9" s="53">
        <f>IF(K9&gt;=600,K9*8,IF(K9&gt;=500,K9*5,IF(K9&gt;=400,K9*4,IF(K9&gt;=300,K9*3.5,IF(K9&gt;=200,K9*3,IF(K9&gt;=100,K9*2.5,IF(K9&gt;=50,K9*2.5,K9*1.5)))))))</f>
        <v>1214.5</v>
      </c>
      <c r="M9" s="91">
        <v>44866</v>
      </c>
      <c r="N9" s="92">
        <v>44875</v>
      </c>
      <c r="O9" s="52" t="str">
        <f>IF(M9&gt;N9,"50","0")</f>
        <v>0</v>
      </c>
      <c r="P9" s="93">
        <f>L9*8%</f>
        <v>97.16</v>
      </c>
      <c r="Q9" s="93" t="str">
        <f>IF(G9="GEN","200",IF(G9="OBC","150",IF(G9="SC","100","50")))</f>
        <v>200</v>
      </c>
      <c r="R9" s="44">
        <f>P9+O9+L9+Q9</f>
        <v>1511.66</v>
      </c>
    </row>
    <row r="10" spans="2:19" x14ac:dyDescent="0.5">
      <c r="B10" s="89" t="s">
        <v>320</v>
      </c>
      <c r="C10" s="88">
        <v>2.5</v>
      </c>
      <c r="F10" s="51" t="s">
        <v>279</v>
      </c>
      <c r="G10" s="51" t="s">
        <v>431</v>
      </c>
      <c r="H10" s="53">
        <v>1453</v>
      </c>
      <c r="I10" s="54">
        <v>4580</v>
      </c>
      <c r="J10" s="55">
        <v>4480</v>
      </c>
      <c r="K10" s="52">
        <f t="shared" ref="K10:K16" si="0">I10-J10</f>
        <v>100</v>
      </c>
      <c r="L10" s="53">
        <f t="shared" ref="L10:L16" si="1">IF(K10&gt;=600,K10*8,IF(K10&gt;=500,K10*5,IF(K10&gt;=400,K10*4,IF(K10&gt;=300,K10*3.5,IF(K10&gt;=200,K10*3,IF(K10&gt;=100,K10*2.5,IF(K10&gt;=50,K10*2.5,K10*1.5)))))))</f>
        <v>250</v>
      </c>
      <c r="M10" s="91">
        <v>44878</v>
      </c>
      <c r="N10" s="92">
        <v>44875</v>
      </c>
      <c r="O10" s="52" t="str">
        <f>IF(M10&gt;N10,"50","0")</f>
        <v>50</v>
      </c>
      <c r="P10" s="93">
        <f t="shared" ref="P10:P16" si="2">L10*8%</f>
        <v>20</v>
      </c>
      <c r="Q10" s="93" t="str">
        <f t="shared" ref="Q10:Q16" si="3">IF(G10="GEN","200",IF(G10="OBC","150",IF(G10="SC","100","50")))</f>
        <v>100</v>
      </c>
      <c r="R10" s="44">
        <f t="shared" ref="R10:R16" si="4">P10+O10+L10+Q10</f>
        <v>420</v>
      </c>
    </row>
    <row r="11" spans="2:19" x14ac:dyDescent="0.5">
      <c r="B11" s="90" t="s">
        <v>321</v>
      </c>
      <c r="C11" s="88">
        <v>3</v>
      </c>
      <c r="F11" s="51" t="s">
        <v>22</v>
      </c>
      <c r="G11" s="51" t="s">
        <v>432</v>
      </c>
      <c r="H11" s="53">
        <v>1454</v>
      </c>
      <c r="I11" s="54">
        <v>4785</v>
      </c>
      <c r="J11" s="55">
        <v>4663</v>
      </c>
      <c r="K11" s="52">
        <f t="shared" si="0"/>
        <v>122</v>
      </c>
      <c r="L11" s="53">
        <f t="shared" si="1"/>
        <v>305</v>
      </c>
      <c r="M11" s="91">
        <v>44866</v>
      </c>
      <c r="N11" s="92">
        <v>44875</v>
      </c>
      <c r="O11" s="52" t="str">
        <f t="shared" ref="O11:O16" si="5">IF(M11&gt;N11,"50","0")</f>
        <v>0</v>
      </c>
      <c r="P11" s="93">
        <f t="shared" si="2"/>
        <v>24.400000000000002</v>
      </c>
      <c r="Q11" s="93" t="str">
        <f t="shared" si="3"/>
        <v>150</v>
      </c>
      <c r="R11" s="44">
        <f t="shared" si="4"/>
        <v>479.4</v>
      </c>
    </row>
    <row r="12" spans="2:19" x14ac:dyDescent="0.5">
      <c r="B12" s="90" t="s">
        <v>322</v>
      </c>
      <c r="C12" s="88">
        <v>3.5</v>
      </c>
      <c r="F12" s="51" t="s">
        <v>123</v>
      </c>
      <c r="G12" s="51" t="s">
        <v>430</v>
      </c>
      <c r="H12" s="53">
        <v>1455</v>
      </c>
      <c r="I12" s="54">
        <v>9850</v>
      </c>
      <c r="J12" s="55">
        <v>9265</v>
      </c>
      <c r="K12" s="52">
        <f t="shared" si="0"/>
        <v>585</v>
      </c>
      <c r="L12" s="53">
        <f t="shared" si="1"/>
        <v>2925</v>
      </c>
      <c r="M12" s="91">
        <v>44882</v>
      </c>
      <c r="N12" s="92">
        <v>44875</v>
      </c>
      <c r="O12" s="52" t="str">
        <f t="shared" si="5"/>
        <v>50</v>
      </c>
      <c r="P12" s="93">
        <f t="shared" si="2"/>
        <v>234</v>
      </c>
      <c r="Q12" s="93" t="str">
        <f t="shared" si="3"/>
        <v>200</v>
      </c>
      <c r="R12" s="44">
        <f t="shared" si="4"/>
        <v>3409</v>
      </c>
    </row>
    <row r="13" spans="2:19" x14ac:dyDescent="0.5">
      <c r="B13" s="90" t="s">
        <v>323</v>
      </c>
      <c r="C13" s="88">
        <v>4</v>
      </c>
      <c r="F13" s="51" t="s">
        <v>120</v>
      </c>
      <c r="G13" s="51" t="s">
        <v>431</v>
      </c>
      <c r="H13" s="53">
        <v>1556</v>
      </c>
      <c r="I13" s="54">
        <v>4975</v>
      </c>
      <c r="J13" s="55">
        <v>4798</v>
      </c>
      <c r="K13" s="52">
        <f t="shared" si="0"/>
        <v>177</v>
      </c>
      <c r="L13" s="53">
        <f t="shared" si="1"/>
        <v>442.5</v>
      </c>
      <c r="M13" s="91">
        <v>44879</v>
      </c>
      <c r="N13" s="92">
        <v>44875</v>
      </c>
      <c r="O13" s="52" t="str">
        <f t="shared" si="5"/>
        <v>50</v>
      </c>
      <c r="P13" s="93">
        <f t="shared" si="2"/>
        <v>35.4</v>
      </c>
      <c r="Q13" s="93" t="str">
        <f t="shared" si="3"/>
        <v>100</v>
      </c>
      <c r="R13" s="44">
        <f t="shared" si="4"/>
        <v>627.9</v>
      </c>
    </row>
    <row r="14" spans="2:19" x14ac:dyDescent="0.5">
      <c r="B14" s="90" t="s">
        <v>324</v>
      </c>
      <c r="C14" s="88">
        <v>5</v>
      </c>
      <c r="F14" s="51" t="s">
        <v>121</v>
      </c>
      <c r="G14" s="51" t="s">
        <v>431</v>
      </c>
      <c r="H14" s="53">
        <v>1457</v>
      </c>
      <c r="I14" s="54">
        <v>2547</v>
      </c>
      <c r="J14" s="55">
        <v>2465</v>
      </c>
      <c r="K14" s="52">
        <f t="shared" si="0"/>
        <v>82</v>
      </c>
      <c r="L14" s="53">
        <f t="shared" si="1"/>
        <v>205</v>
      </c>
      <c r="M14" s="91">
        <v>44866</v>
      </c>
      <c r="N14" s="92">
        <v>44875</v>
      </c>
      <c r="O14" s="52" t="str">
        <f t="shared" si="5"/>
        <v>0</v>
      </c>
      <c r="P14" s="93">
        <f t="shared" si="2"/>
        <v>16.399999999999999</v>
      </c>
      <c r="Q14" s="93" t="str">
        <f t="shared" si="3"/>
        <v>100</v>
      </c>
      <c r="R14" s="44">
        <f t="shared" si="4"/>
        <v>321.39999999999998</v>
      </c>
    </row>
    <row r="15" spans="2:19" x14ac:dyDescent="0.5">
      <c r="B15" s="90" t="s">
        <v>325</v>
      </c>
      <c r="C15" s="88">
        <v>8</v>
      </c>
      <c r="F15" s="51" t="s">
        <v>280</v>
      </c>
      <c r="G15" s="51" t="s">
        <v>432</v>
      </c>
      <c r="H15" s="53">
        <v>1458</v>
      </c>
      <c r="I15" s="54">
        <v>4587</v>
      </c>
      <c r="J15" s="55">
        <v>4011</v>
      </c>
      <c r="K15" s="52">
        <f t="shared" si="0"/>
        <v>576</v>
      </c>
      <c r="L15" s="53">
        <f t="shared" si="1"/>
        <v>2880</v>
      </c>
      <c r="M15" s="91">
        <v>44866</v>
      </c>
      <c r="N15" s="92">
        <v>44875</v>
      </c>
      <c r="O15" s="52" t="str">
        <f t="shared" si="5"/>
        <v>0</v>
      </c>
      <c r="P15" s="93">
        <f t="shared" si="2"/>
        <v>230.4</v>
      </c>
      <c r="Q15" s="93" t="str">
        <f t="shared" si="3"/>
        <v>150</v>
      </c>
      <c r="R15" s="44">
        <f t="shared" si="4"/>
        <v>3260.4</v>
      </c>
    </row>
    <row r="16" spans="2:19" x14ac:dyDescent="0.5">
      <c r="F16" s="51" t="s">
        <v>281</v>
      </c>
      <c r="G16" s="51" t="s">
        <v>433</v>
      </c>
      <c r="H16" s="53">
        <v>1459</v>
      </c>
      <c r="I16" s="54">
        <v>7875</v>
      </c>
      <c r="J16" s="55">
        <v>7265</v>
      </c>
      <c r="K16" s="52">
        <f t="shared" si="0"/>
        <v>610</v>
      </c>
      <c r="L16" s="53">
        <f t="shared" si="1"/>
        <v>4880</v>
      </c>
      <c r="M16" s="91">
        <v>44874</v>
      </c>
      <c r="N16" s="92">
        <v>44875</v>
      </c>
      <c r="O16" s="52" t="str">
        <f t="shared" si="5"/>
        <v>0</v>
      </c>
      <c r="P16" s="93">
        <f t="shared" si="2"/>
        <v>390.40000000000003</v>
      </c>
      <c r="Q16" s="93" t="str">
        <f t="shared" si="3"/>
        <v>50</v>
      </c>
      <c r="R16" s="44">
        <f t="shared" si="4"/>
        <v>5320.4</v>
      </c>
    </row>
    <row r="17" spans="12:14" x14ac:dyDescent="0.5">
      <c r="L17"/>
    </row>
    <row r="19" spans="12:14" x14ac:dyDescent="0.5">
      <c r="N19" s="130"/>
    </row>
    <row r="20" spans="12:14" x14ac:dyDescent="0.5">
      <c r="N20" s="130"/>
    </row>
    <row r="21" spans="12:14" x14ac:dyDescent="0.5">
      <c r="N21" s="130"/>
    </row>
    <row r="22" spans="12:14" x14ac:dyDescent="0.5">
      <c r="N22" s="130"/>
    </row>
    <row r="23" spans="12:14" x14ac:dyDescent="0.5">
      <c r="N23" s="130"/>
    </row>
    <row r="24" spans="12:14" x14ac:dyDescent="0.5">
      <c r="N24" s="130"/>
    </row>
    <row r="25" spans="12:14" x14ac:dyDescent="0.5">
      <c r="N25" s="130"/>
    </row>
    <row r="26" spans="12:14" x14ac:dyDescent="0.5">
      <c r="N26" s="130"/>
    </row>
  </sheetData>
  <mergeCells count="2">
    <mergeCell ref="D2:S5"/>
    <mergeCell ref="B9:C9"/>
  </mergeCells>
  <conditionalFormatting sqref="C10:C15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9:K1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9:R1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G9:G16" xr:uid="{B33D83D6-DCFC-44F8-957D-08B9B22D469F}">
      <formula1>"GEN,OBC,SC,ST"</formula1>
    </dataValidation>
  </dataValidation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rgb="FFFFFF00"/>
  </sheetPr>
  <dimension ref="B9:R118"/>
  <sheetViews>
    <sheetView workbookViewId="0"/>
  </sheetViews>
  <sheetFormatPr defaultRowHeight="14.5" x14ac:dyDescent="0.35"/>
  <cols>
    <col min="2" max="2" width="12.7265625" bestFit="1" customWidth="1"/>
    <col min="3" max="4" width="12.81640625" bestFit="1" customWidth="1"/>
    <col min="5" max="5" width="15" bestFit="1" customWidth="1"/>
    <col min="6" max="6" width="12.81640625" bestFit="1" customWidth="1"/>
    <col min="7" max="7" width="8.453125" customWidth="1"/>
    <col min="8" max="8" width="14.7265625" bestFit="1" customWidth="1"/>
    <col min="9" max="9" width="16.36328125" bestFit="1" customWidth="1"/>
    <col min="10" max="10" width="14" customWidth="1"/>
    <col min="11" max="11" width="15.7265625" bestFit="1" customWidth="1"/>
    <col min="12" max="12" width="9.54296875" bestFit="1" customWidth="1"/>
    <col min="13" max="13" width="8" customWidth="1"/>
  </cols>
  <sheetData>
    <row r="9" spans="3:9" ht="21" x14ac:dyDescent="0.35">
      <c r="C9" s="94" t="s">
        <v>329</v>
      </c>
      <c r="D9" s="94" t="s">
        <v>330</v>
      </c>
      <c r="E9" s="94" t="s">
        <v>331</v>
      </c>
      <c r="F9" s="94" t="s">
        <v>332</v>
      </c>
      <c r="G9" s="95"/>
      <c r="H9" s="96" t="s">
        <v>329</v>
      </c>
      <c r="I9" s="96" t="s">
        <v>506</v>
      </c>
    </row>
    <row r="10" spans="3:9" ht="21" x14ac:dyDescent="0.35">
      <c r="C10" s="97">
        <v>51</v>
      </c>
      <c r="D10" s="97" t="s">
        <v>333</v>
      </c>
      <c r="E10" s="98">
        <v>44866</v>
      </c>
      <c r="F10" s="97">
        <v>52</v>
      </c>
      <c r="G10" s="95"/>
      <c r="H10" s="49">
        <v>53</v>
      </c>
      <c r="I10" s="99">
        <f>_xlfn.XLOOKUP(H10,C9:C16,E9:E16)</f>
        <v>44868</v>
      </c>
    </row>
    <row r="11" spans="3:9" ht="18.5" x14ac:dyDescent="0.35">
      <c r="C11" s="97">
        <v>52</v>
      </c>
      <c r="D11" s="97" t="s">
        <v>334</v>
      </c>
      <c r="E11" s="98">
        <v>44867</v>
      </c>
      <c r="F11" s="97">
        <v>36</v>
      </c>
      <c r="G11" s="95"/>
      <c r="H11" s="95"/>
      <c r="I11" s="95"/>
    </row>
    <row r="12" spans="3:9" ht="18.5" x14ac:dyDescent="0.35">
      <c r="C12" s="97">
        <v>53</v>
      </c>
      <c r="D12" s="97" t="s">
        <v>335</v>
      </c>
      <c r="E12" s="98">
        <v>44868</v>
      </c>
      <c r="F12" s="97">
        <v>65</v>
      </c>
      <c r="G12" s="95"/>
    </row>
    <row r="13" spans="3:9" ht="18.5" x14ac:dyDescent="0.35">
      <c r="C13" s="97">
        <v>54</v>
      </c>
      <c r="D13" s="97" t="s">
        <v>336</v>
      </c>
      <c r="E13" s="98">
        <v>44869</v>
      </c>
      <c r="F13" s="97">
        <v>45</v>
      </c>
      <c r="G13" s="95"/>
      <c r="H13" s="94" t="s">
        <v>330</v>
      </c>
      <c r="I13" s="94" t="s">
        <v>332</v>
      </c>
    </row>
    <row r="14" spans="3:9" ht="21" x14ac:dyDescent="0.35">
      <c r="C14" s="97">
        <v>55</v>
      </c>
      <c r="D14" s="97" t="s">
        <v>337</v>
      </c>
      <c r="E14" s="98">
        <v>44870</v>
      </c>
      <c r="F14" s="97">
        <v>58</v>
      </c>
      <c r="G14" s="95"/>
      <c r="H14" s="49" t="s">
        <v>338</v>
      </c>
      <c r="I14" s="49"/>
    </row>
    <row r="15" spans="3:9" ht="18.5" x14ac:dyDescent="0.35">
      <c r="C15" s="97">
        <v>56</v>
      </c>
      <c r="D15" s="97" t="s">
        <v>338</v>
      </c>
      <c r="E15" s="98">
        <v>44871</v>
      </c>
      <c r="F15" s="97">
        <v>57</v>
      </c>
      <c r="G15" s="95"/>
      <c r="H15" s="95"/>
      <c r="I15" s="95"/>
    </row>
    <row r="16" spans="3:9" ht="18.5" x14ac:dyDescent="0.35">
      <c r="C16" s="97">
        <v>57</v>
      </c>
      <c r="D16" s="97" t="s">
        <v>337</v>
      </c>
      <c r="E16" s="98">
        <v>44872</v>
      </c>
      <c r="F16" s="97">
        <v>59</v>
      </c>
      <c r="G16" s="95"/>
      <c r="H16" s="95"/>
      <c r="I16" s="95"/>
    </row>
    <row r="26" spans="3:12" ht="18.5" x14ac:dyDescent="0.35">
      <c r="C26" s="94" t="s">
        <v>329</v>
      </c>
      <c r="D26" s="94" t="s">
        <v>330</v>
      </c>
      <c r="E26" s="94" t="s">
        <v>331</v>
      </c>
      <c r="F26" s="94" t="s">
        <v>332</v>
      </c>
    </row>
    <row r="27" spans="3:12" ht="18.5" x14ac:dyDescent="0.35">
      <c r="C27" s="97">
        <v>51</v>
      </c>
      <c r="D27" s="97" t="s">
        <v>333</v>
      </c>
      <c r="E27" s="98">
        <v>44866</v>
      </c>
      <c r="F27" s="97">
        <v>52</v>
      </c>
      <c r="H27" s="94" t="s">
        <v>331</v>
      </c>
      <c r="I27" s="94" t="s">
        <v>329</v>
      </c>
      <c r="K27" s="94" t="s">
        <v>331</v>
      </c>
      <c r="L27" s="94" t="s">
        <v>329</v>
      </c>
    </row>
    <row r="28" spans="3:12" ht="21" x14ac:dyDescent="0.35">
      <c r="C28" s="97">
        <v>52</v>
      </c>
      <c r="D28" s="97" t="s">
        <v>334</v>
      </c>
      <c r="E28" s="98">
        <v>44867</v>
      </c>
      <c r="F28" s="97">
        <v>36</v>
      </c>
      <c r="H28" s="99">
        <v>44866</v>
      </c>
      <c r="I28" s="49">
        <f>_xlfn.XLOOKUP(H28,E26:E33,C26:C33)</f>
        <v>51</v>
      </c>
      <c r="K28" s="99">
        <v>44866</v>
      </c>
      <c r="L28" s="49"/>
    </row>
    <row r="29" spans="3:12" ht="18.5" x14ac:dyDescent="0.35">
      <c r="C29" s="97">
        <v>53</v>
      </c>
      <c r="D29" s="97" t="s">
        <v>335</v>
      </c>
      <c r="E29" s="98">
        <v>44868</v>
      </c>
      <c r="F29" s="97">
        <v>65</v>
      </c>
    </row>
    <row r="30" spans="3:12" ht="18.5" x14ac:dyDescent="0.35">
      <c r="C30" s="97">
        <v>54</v>
      </c>
      <c r="D30" s="97" t="s">
        <v>336</v>
      </c>
      <c r="E30" s="98">
        <v>44869</v>
      </c>
      <c r="F30" s="97">
        <v>45</v>
      </c>
    </row>
    <row r="31" spans="3:12" ht="18.5" x14ac:dyDescent="0.35">
      <c r="C31" s="97">
        <v>55</v>
      </c>
      <c r="D31" s="97" t="s">
        <v>337</v>
      </c>
      <c r="E31" s="98">
        <v>44870</v>
      </c>
      <c r="F31" s="97">
        <v>58</v>
      </c>
    </row>
    <row r="32" spans="3:12" ht="18.5" x14ac:dyDescent="0.35">
      <c r="C32" s="97">
        <v>56</v>
      </c>
      <c r="D32" s="97" t="s">
        <v>338</v>
      </c>
      <c r="E32" s="98">
        <v>44871</v>
      </c>
      <c r="F32" s="97">
        <v>57</v>
      </c>
    </row>
    <row r="33" spans="3:12" ht="18.5" x14ac:dyDescent="0.35">
      <c r="C33" s="97">
        <v>57</v>
      </c>
      <c r="D33" s="97" t="s">
        <v>337</v>
      </c>
      <c r="E33" s="98">
        <v>44872</v>
      </c>
      <c r="F33" s="97">
        <v>59</v>
      </c>
    </row>
    <row r="42" spans="3:12" ht="18.5" x14ac:dyDescent="0.35">
      <c r="C42" s="94" t="s">
        <v>329</v>
      </c>
      <c r="D42" s="94" t="s">
        <v>330</v>
      </c>
      <c r="E42" s="94" t="s">
        <v>331</v>
      </c>
      <c r="F42" s="94" t="s">
        <v>332</v>
      </c>
      <c r="G42" s="94" t="s">
        <v>339</v>
      </c>
    </row>
    <row r="43" spans="3:12" ht="18.5" x14ac:dyDescent="0.35">
      <c r="C43" s="97">
        <v>51</v>
      </c>
      <c r="D43" s="97" t="s">
        <v>333</v>
      </c>
      <c r="E43" s="98">
        <v>44866</v>
      </c>
      <c r="F43" s="97">
        <v>51</v>
      </c>
      <c r="G43" s="97">
        <v>12</v>
      </c>
      <c r="I43" s="94" t="s">
        <v>329</v>
      </c>
      <c r="J43" s="94" t="s">
        <v>340</v>
      </c>
      <c r="L43" s="94" t="s">
        <v>329</v>
      </c>
    </row>
    <row r="44" spans="3:12" ht="18.5" x14ac:dyDescent="0.35">
      <c r="C44" s="97">
        <v>52</v>
      </c>
      <c r="D44" s="97" t="s">
        <v>334</v>
      </c>
      <c r="E44" s="98">
        <v>44867</v>
      </c>
      <c r="F44" s="97">
        <v>36</v>
      </c>
      <c r="G44" s="97">
        <v>58</v>
      </c>
      <c r="I44" s="97">
        <v>51</v>
      </c>
      <c r="J44" s="97" cm="1">
        <f t="array" ref="J44">_xlfn.XLOOKUP(I44,C42:C49,F42:F49+G42:G49)</f>
        <v>63</v>
      </c>
      <c r="L44" s="97">
        <v>51</v>
      </c>
    </row>
    <row r="45" spans="3:12" ht="18.5" x14ac:dyDescent="0.35">
      <c r="C45" s="97">
        <v>53</v>
      </c>
      <c r="D45" s="97" t="s">
        <v>335</v>
      </c>
      <c r="E45" s="98">
        <v>44868</v>
      </c>
      <c r="F45" s="97">
        <v>65</v>
      </c>
      <c r="G45" s="97">
        <v>65</v>
      </c>
    </row>
    <row r="46" spans="3:12" ht="18.5" x14ac:dyDescent="0.35">
      <c r="C46" s="97">
        <v>54</v>
      </c>
      <c r="D46" s="97" t="s">
        <v>336</v>
      </c>
      <c r="E46" s="98">
        <v>44869</v>
      </c>
      <c r="F46" s="97">
        <v>45</v>
      </c>
      <c r="G46" s="97">
        <v>45</v>
      </c>
      <c r="I46" s="153" t="s">
        <v>341</v>
      </c>
      <c r="J46" s="153"/>
      <c r="K46" s="153"/>
      <c r="L46" s="153"/>
    </row>
    <row r="47" spans="3:12" ht="18.5" x14ac:dyDescent="0.35">
      <c r="C47" s="97">
        <v>55</v>
      </c>
      <c r="D47" s="97" t="s">
        <v>337</v>
      </c>
      <c r="E47" s="98">
        <v>44870</v>
      </c>
      <c r="F47" s="97">
        <v>58</v>
      </c>
      <c r="G47" s="97">
        <v>24</v>
      </c>
      <c r="I47" s="100" t="s">
        <v>330</v>
      </c>
      <c r="J47" s="100" t="s">
        <v>340</v>
      </c>
    </row>
    <row r="48" spans="3:12" ht="18.5" x14ac:dyDescent="0.35">
      <c r="C48" s="97">
        <v>56</v>
      </c>
      <c r="D48" s="97" t="s">
        <v>338</v>
      </c>
      <c r="E48" s="98">
        <v>44871</v>
      </c>
      <c r="F48" s="97">
        <v>57</v>
      </c>
      <c r="G48" s="97">
        <v>36</v>
      </c>
      <c r="I48" s="97" t="s">
        <v>336</v>
      </c>
      <c r="J48" s="97"/>
    </row>
    <row r="49" spans="3:13" ht="18.5" x14ac:dyDescent="0.35">
      <c r="C49" s="97">
        <v>57</v>
      </c>
      <c r="D49" s="97" t="s">
        <v>337</v>
      </c>
      <c r="E49" s="98">
        <v>44872</v>
      </c>
      <c r="F49" s="97">
        <v>59</v>
      </c>
      <c r="G49" s="97">
        <v>15</v>
      </c>
    </row>
    <row r="60" spans="3:13" ht="18.5" x14ac:dyDescent="0.35">
      <c r="C60" s="94" t="s">
        <v>329</v>
      </c>
      <c r="D60" s="94" t="s">
        <v>330</v>
      </c>
      <c r="E60" s="94" t="s">
        <v>331</v>
      </c>
      <c r="F60" s="94" t="s">
        <v>332</v>
      </c>
      <c r="G60" s="94" t="s">
        <v>339</v>
      </c>
      <c r="I60" s="94" t="s">
        <v>329</v>
      </c>
      <c r="J60" s="94" t="s">
        <v>330</v>
      </c>
      <c r="K60" s="94" t="s">
        <v>331</v>
      </c>
      <c r="L60" s="94" t="s">
        <v>332</v>
      </c>
      <c r="M60" s="94" t="s">
        <v>339</v>
      </c>
    </row>
    <row r="61" spans="3:13" ht="18.5" x14ac:dyDescent="0.35">
      <c r="C61" s="97">
        <v>100</v>
      </c>
      <c r="D61" s="97" t="s">
        <v>333</v>
      </c>
      <c r="E61" s="98">
        <v>44866</v>
      </c>
      <c r="F61" s="97">
        <v>51</v>
      </c>
      <c r="G61" s="97">
        <v>12</v>
      </c>
      <c r="I61" s="97">
        <v>110</v>
      </c>
      <c r="J61" s="97" t="str" cm="1">
        <f t="array" ref="J61:M61">_xlfn.XLOOKUP(I61,C60:C67,D60:G67)</f>
        <v>keyboard</v>
      </c>
      <c r="K61" s="98">
        <v>44867</v>
      </c>
      <c r="L61" s="97">
        <v>36</v>
      </c>
      <c r="M61" s="97">
        <v>58</v>
      </c>
    </row>
    <row r="62" spans="3:13" ht="18.5" x14ac:dyDescent="0.35">
      <c r="C62" s="97">
        <v>110</v>
      </c>
      <c r="D62" s="97" t="s">
        <v>334</v>
      </c>
      <c r="E62" s="98">
        <v>44867</v>
      </c>
      <c r="F62" s="97">
        <v>36</v>
      </c>
      <c r="G62" s="97">
        <v>58</v>
      </c>
    </row>
    <row r="63" spans="3:13" ht="18.5" x14ac:dyDescent="0.35">
      <c r="C63" s="97">
        <v>120</v>
      </c>
      <c r="D63" s="97" t="s">
        <v>335</v>
      </c>
      <c r="E63" s="98">
        <v>44868</v>
      </c>
      <c r="F63" s="97">
        <v>65</v>
      </c>
      <c r="G63" s="97">
        <v>65</v>
      </c>
      <c r="I63" s="94" t="s">
        <v>329</v>
      </c>
      <c r="J63" s="94" t="s">
        <v>330</v>
      </c>
      <c r="K63" s="94" t="s">
        <v>331</v>
      </c>
      <c r="L63" s="94" t="s">
        <v>332</v>
      </c>
      <c r="M63" s="94" t="s">
        <v>339</v>
      </c>
    </row>
    <row r="64" spans="3:13" ht="18.5" x14ac:dyDescent="0.35">
      <c r="C64" s="97">
        <v>130</v>
      </c>
      <c r="D64" s="97" t="s">
        <v>336</v>
      </c>
      <c r="E64" s="98">
        <v>44869</v>
      </c>
      <c r="F64" s="97">
        <v>45</v>
      </c>
      <c r="G64" s="97">
        <v>45</v>
      </c>
      <c r="I64" s="97">
        <v>99</v>
      </c>
      <c r="J64" s="97" t="str" cm="1">
        <f t="array" ref="J64:M64">_xlfn.XLOOKUP(I64,C60:C67,D60:G67,,1)</f>
        <v>mouse</v>
      </c>
      <c r="K64" s="98">
        <v>44866</v>
      </c>
      <c r="L64" s="97">
        <v>51</v>
      </c>
      <c r="M64" s="97">
        <v>12</v>
      </c>
    </row>
    <row r="65" spans="2:18" ht="18.5" x14ac:dyDescent="0.35">
      <c r="C65" s="97">
        <v>140</v>
      </c>
      <c r="D65" s="97" t="s">
        <v>337</v>
      </c>
      <c r="E65" s="98">
        <v>44870</v>
      </c>
      <c r="F65" s="97">
        <v>58</v>
      </c>
      <c r="G65" s="97">
        <v>24</v>
      </c>
    </row>
    <row r="66" spans="2:18" ht="18.5" x14ac:dyDescent="0.35">
      <c r="C66" s="97">
        <v>150</v>
      </c>
      <c r="D66" s="97" t="s">
        <v>338</v>
      </c>
      <c r="E66" s="98">
        <v>44871</v>
      </c>
      <c r="F66" s="97">
        <v>57</v>
      </c>
      <c r="G66" s="97">
        <v>36</v>
      </c>
      <c r="L66" s="94" t="s">
        <v>329</v>
      </c>
    </row>
    <row r="67" spans="2:18" ht="18.5" x14ac:dyDescent="0.35">
      <c r="C67" s="97">
        <v>160</v>
      </c>
      <c r="D67" s="97" t="s">
        <v>337</v>
      </c>
      <c r="E67" s="98">
        <v>44872</v>
      </c>
      <c r="F67" s="97">
        <v>59</v>
      </c>
      <c r="G67" s="97">
        <v>15</v>
      </c>
      <c r="L67" s="97">
        <v>126</v>
      </c>
      <c r="M67" t="e">
        <f t="array" aca="1" ref="M67" ca="1">_xludf.XLOOKUP(L67,C60:C67,D60:G67,-1)</f>
        <v>#NAME?</v>
      </c>
      <c r="N67" t="e">
        <f t="array" aca="1" ref="N67" ca="1">_xludf.XLOOKUP(M67,D60:D67,E60:H67,-1)</f>
        <v>#NAME?</v>
      </c>
      <c r="O67" t="e">
        <f t="array" aca="1" ref="O67" ca="1">_xludf.XLOOKUP(N67,E60:E67,F60:I67,-1)</f>
        <v>#NAME?</v>
      </c>
      <c r="P67" t="e">
        <f t="array" aca="1" ref="P67" ca="1">_xludf.XLOOKUP(O67,F60:F67,G60:J67,-1)</f>
        <v>#NAME?</v>
      </c>
    </row>
    <row r="77" spans="2:18" ht="23.5" x14ac:dyDescent="0.35">
      <c r="B77" s="94" t="s">
        <v>329</v>
      </c>
      <c r="C77" s="97">
        <v>51</v>
      </c>
      <c r="D77" s="97">
        <v>52</v>
      </c>
      <c r="E77" s="97">
        <v>53</v>
      </c>
      <c r="F77" s="97">
        <v>54</v>
      </c>
      <c r="H77" s="87" t="s">
        <v>507</v>
      </c>
      <c r="I77" s="87">
        <v>53</v>
      </c>
      <c r="P77" s="97">
        <v>55</v>
      </c>
      <c r="Q77" s="97">
        <v>56</v>
      </c>
      <c r="R77" s="97">
        <v>57</v>
      </c>
    </row>
    <row r="78" spans="2:18" ht="23.5" x14ac:dyDescent="0.35">
      <c r="B78" s="94" t="s">
        <v>330</v>
      </c>
      <c r="C78" s="97" t="s">
        <v>333</v>
      </c>
      <c r="D78" s="97" t="s">
        <v>334</v>
      </c>
      <c r="E78" s="97" t="s">
        <v>335</v>
      </c>
      <c r="F78" s="97" t="s">
        <v>336</v>
      </c>
      <c r="H78" s="87" t="s">
        <v>506</v>
      </c>
      <c r="I78" s="141">
        <f>_xlfn.XLOOKUP(I77,B77:F77,B79:F79)</f>
        <v>44868</v>
      </c>
      <c r="P78" s="97" t="s">
        <v>337</v>
      </c>
      <c r="Q78" s="97" t="s">
        <v>338</v>
      </c>
      <c r="R78" s="97" t="s">
        <v>337</v>
      </c>
    </row>
    <row r="79" spans="2:18" ht="18.5" x14ac:dyDescent="0.35">
      <c r="B79" s="94" t="s">
        <v>331</v>
      </c>
      <c r="C79" s="98">
        <v>44866</v>
      </c>
      <c r="D79" s="98">
        <v>44867</v>
      </c>
      <c r="E79" s="98">
        <v>44868</v>
      </c>
      <c r="F79" s="98">
        <v>44869</v>
      </c>
      <c r="P79" s="98">
        <v>44870</v>
      </c>
      <c r="Q79" s="98">
        <v>44871</v>
      </c>
      <c r="R79" s="98">
        <v>44872</v>
      </c>
    </row>
    <row r="80" spans="2:18" ht="18.5" x14ac:dyDescent="0.35">
      <c r="B80" s="94" t="s">
        <v>332</v>
      </c>
      <c r="C80" s="97">
        <v>52</v>
      </c>
      <c r="D80" s="97">
        <v>36</v>
      </c>
      <c r="E80" s="97">
        <v>65</v>
      </c>
      <c r="F80" s="97">
        <v>45</v>
      </c>
      <c r="P80" s="97">
        <v>58</v>
      </c>
      <c r="Q80" s="97">
        <v>57</v>
      </c>
      <c r="R80" s="97">
        <v>59</v>
      </c>
    </row>
    <row r="91" spans="3:12" x14ac:dyDescent="0.35">
      <c r="D91" s="187" t="s">
        <v>342</v>
      </c>
      <c r="E91" s="187"/>
      <c r="F91" s="187"/>
      <c r="G91" s="187"/>
      <c r="H91" s="187"/>
      <c r="I91" s="187"/>
    </row>
    <row r="92" spans="3:12" x14ac:dyDescent="0.35">
      <c r="D92" s="187"/>
      <c r="E92" s="187"/>
      <c r="F92" s="187"/>
      <c r="G92" s="187"/>
      <c r="H92" s="187"/>
      <c r="I92" s="187"/>
    </row>
    <row r="93" spans="3:12" ht="18.5" x14ac:dyDescent="0.35">
      <c r="C93" s="101" t="s">
        <v>329</v>
      </c>
      <c r="D93" s="101" t="s">
        <v>343</v>
      </c>
      <c r="E93" s="101" t="s">
        <v>344</v>
      </c>
      <c r="F93" s="101" t="s">
        <v>345</v>
      </c>
      <c r="G93" s="101" t="s">
        <v>346</v>
      </c>
      <c r="H93" s="101" t="s">
        <v>347</v>
      </c>
      <c r="I93" s="101" t="s">
        <v>348</v>
      </c>
    </row>
    <row r="94" spans="3:12" ht="18.5" x14ac:dyDescent="0.35">
      <c r="C94" s="102">
        <v>100</v>
      </c>
      <c r="D94" s="97">
        <v>90803</v>
      </c>
      <c r="E94" s="97">
        <v>26772</v>
      </c>
      <c r="F94" s="97">
        <v>35927</v>
      </c>
      <c r="G94" s="97">
        <v>71147</v>
      </c>
      <c r="H94" s="97">
        <v>58886</v>
      </c>
      <c r="I94" s="97">
        <v>87304</v>
      </c>
      <c r="K94" s="101" t="s">
        <v>329</v>
      </c>
      <c r="L94" s="101" t="s">
        <v>344</v>
      </c>
    </row>
    <row r="95" spans="3:12" ht="18.5" x14ac:dyDescent="0.35">
      <c r="C95" s="102">
        <v>101</v>
      </c>
      <c r="D95" s="97">
        <v>87152</v>
      </c>
      <c r="E95" s="97">
        <v>94882</v>
      </c>
      <c r="F95" s="97">
        <v>41443</v>
      </c>
      <c r="G95" s="97">
        <v>71381</v>
      </c>
      <c r="H95" s="97">
        <v>91407</v>
      </c>
      <c r="I95" s="97">
        <v>91858</v>
      </c>
      <c r="K95" s="102">
        <v>105</v>
      </c>
      <c r="L95" s="97" cm="1">
        <f t="array" ref="L95">_xlfn.XLOOKUP(L94,D93:I93,_xlfn.XLOOKUP(K95,C93:C100,D93:I100))</f>
        <v>73695</v>
      </c>
    </row>
    <row r="96" spans="3:12" ht="18.5" x14ac:dyDescent="0.35">
      <c r="C96" s="102">
        <v>102</v>
      </c>
      <c r="D96" s="97">
        <v>56322</v>
      </c>
      <c r="E96" s="97">
        <v>91770</v>
      </c>
      <c r="F96" s="97">
        <v>96096</v>
      </c>
      <c r="G96" s="97">
        <v>72927</v>
      </c>
      <c r="H96" s="97">
        <v>59567</v>
      </c>
      <c r="I96" s="97">
        <v>80517</v>
      </c>
    </row>
    <row r="97" spans="3:10" ht="18.5" x14ac:dyDescent="0.35">
      <c r="C97" s="102">
        <v>103</v>
      </c>
      <c r="D97" s="97">
        <v>92118</v>
      </c>
      <c r="E97" s="97">
        <v>70227</v>
      </c>
      <c r="F97" s="97">
        <v>86838</v>
      </c>
      <c r="G97" s="97">
        <v>78388</v>
      </c>
      <c r="H97" s="97">
        <v>65177</v>
      </c>
      <c r="I97" s="97">
        <v>40576</v>
      </c>
    </row>
    <row r="98" spans="3:10" ht="18.5" x14ac:dyDescent="0.35">
      <c r="C98" s="102">
        <v>104</v>
      </c>
      <c r="D98" s="97">
        <v>33817</v>
      </c>
      <c r="E98" s="97">
        <v>22327</v>
      </c>
      <c r="F98" s="97">
        <v>30401</v>
      </c>
      <c r="G98" s="97">
        <v>66752</v>
      </c>
      <c r="H98" s="97">
        <v>70665</v>
      </c>
      <c r="I98" s="97">
        <v>58039</v>
      </c>
    </row>
    <row r="99" spans="3:10" ht="18.5" x14ac:dyDescent="0.35">
      <c r="C99" s="102">
        <v>105</v>
      </c>
      <c r="D99" s="97">
        <v>28083</v>
      </c>
      <c r="E99" s="97">
        <v>73695</v>
      </c>
      <c r="F99" s="97">
        <v>82951</v>
      </c>
      <c r="G99" s="97">
        <v>41230</v>
      </c>
      <c r="H99" s="97">
        <v>52862</v>
      </c>
      <c r="I99" s="97">
        <v>71295</v>
      </c>
    </row>
    <row r="100" spans="3:10" ht="18.5" x14ac:dyDescent="0.35">
      <c r="C100" s="102">
        <v>106</v>
      </c>
      <c r="D100" s="97">
        <v>73473</v>
      </c>
      <c r="E100" s="97">
        <v>92326</v>
      </c>
      <c r="F100" s="97">
        <v>67907</v>
      </c>
      <c r="G100" s="97">
        <v>43386</v>
      </c>
      <c r="H100" s="97">
        <v>65558</v>
      </c>
      <c r="I100" s="97">
        <v>67314</v>
      </c>
    </row>
    <row r="111" spans="3:10" ht="18.5" x14ac:dyDescent="0.35">
      <c r="C111" s="101" t="s">
        <v>329</v>
      </c>
      <c r="D111" s="101" t="s">
        <v>349</v>
      </c>
      <c r="E111" s="101" t="s">
        <v>350</v>
      </c>
      <c r="F111" s="101" t="s">
        <v>332</v>
      </c>
    </row>
    <row r="112" spans="3:10" ht="18.5" x14ac:dyDescent="0.35">
      <c r="C112" s="102">
        <v>100</v>
      </c>
      <c r="D112" s="97" t="s">
        <v>351</v>
      </c>
      <c r="E112" s="97" t="s">
        <v>352</v>
      </c>
      <c r="F112" s="97">
        <v>35927</v>
      </c>
      <c r="H112" s="101" t="s">
        <v>329</v>
      </c>
      <c r="I112" s="101" t="s">
        <v>349</v>
      </c>
      <c r="J112" s="101" t="s">
        <v>332</v>
      </c>
    </row>
    <row r="113" spans="3:10" ht="18.5" x14ac:dyDescent="0.35">
      <c r="C113" s="102">
        <v>101</v>
      </c>
      <c r="D113" s="97" t="s">
        <v>353</v>
      </c>
      <c r="E113" s="97" t="s">
        <v>352</v>
      </c>
      <c r="F113" s="97">
        <v>41443</v>
      </c>
      <c r="H113" s="102">
        <v>105</v>
      </c>
      <c r="I113" s="97" t="s">
        <v>351</v>
      </c>
      <c r="J113" s="97" cm="1">
        <f t="array" ref="J113">_xlfn.XLOOKUP(H113&amp;I113,C111:C118&amp;D111:D118,F111:F118)</f>
        <v>82951</v>
      </c>
    </row>
    <row r="114" spans="3:10" ht="18.5" x14ac:dyDescent="0.35">
      <c r="C114" s="102">
        <v>102</v>
      </c>
      <c r="D114" s="97" t="s">
        <v>354</v>
      </c>
      <c r="E114" s="97" t="s">
        <v>355</v>
      </c>
      <c r="F114" s="97">
        <v>96096</v>
      </c>
    </row>
    <row r="115" spans="3:10" ht="18.5" x14ac:dyDescent="0.35">
      <c r="C115" s="102">
        <v>103</v>
      </c>
      <c r="D115" s="97" t="s">
        <v>356</v>
      </c>
      <c r="E115" s="97" t="s">
        <v>357</v>
      </c>
      <c r="F115" s="97">
        <v>86838</v>
      </c>
    </row>
    <row r="116" spans="3:10" ht="18.5" x14ac:dyDescent="0.35">
      <c r="C116" s="102">
        <v>104</v>
      </c>
      <c r="D116" s="97" t="s">
        <v>358</v>
      </c>
      <c r="E116" s="97" t="s">
        <v>359</v>
      </c>
      <c r="F116" s="97">
        <v>30401</v>
      </c>
    </row>
    <row r="117" spans="3:10" ht="18.5" x14ac:dyDescent="0.35">
      <c r="C117" s="102">
        <v>105</v>
      </c>
      <c r="D117" s="97" t="s">
        <v>351</v>
      </c>
      <c r="E117" s="97" t="s">
        <v>360</v>
      </c>
      <c r="F117" s="97">
        <v>82951</v>
      </c>
    </row>
    <row r="118" spans="3:10" ht="18.5" x14ac:dyDescent="0.35">
      <c r="C118" s="102">
        <v>106</v>
      </c>
      <c r="D118" s="97" t="s">
        <v>353</v>
      </c>
      <c r="E118" s="97" t="s">
        <v>361</v>
      </c>
      <c r="F118" s="97">
        <v>67907</v>
      </c>
    </row>
  </sheetData>
  <mergeCells count="2">
    <mergeCell ref="I46:L46"/>
    <mergeCell ref="D91:I9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FB400-0F5A-4BDA-84B6-A9DD08995D94}">
  <sheetPr codeName="Sheet16">
    <tabColor rgb="FF00B050"/>
  </sheetPr>
  <dimension ref="D10:J28"/>
  <sheetViews>
    <sheetView workbookViewId="0">
      <selection activeCell="H19" sqref="H19"/>
    </sheetView>
  </sheetViews>
  <sheetFormatPr defaultRowHeight="14.5" x14ac:dyDescent="0.35"/>
  <sheetData>
    <row r="10" spans="4:10" x14ac:dyDescent="0.35">
      <c r="D10" s="131" t="s">
        <v>435</v>
      </c>
      <c r="E10" s="25" t="s">
        <v>436</v>
      </c>
      <c r="F10" s="25" t="s">
        <v>437</v>
      </c>
      <c r="G10" s="25" t="s">
        <v>438</v>
      </c>
      <c r="H10" s="25" t="s">
        <v>439</v>
      </c>
      <c r="I10" s="25" t="s">
        <v>440</v>
      </c>
      <c r="J10" s="25" t="s">
        <v>441</v>
      </c>
    </row>
    <row r="11" spans="4:10" x14ac:dyDescent="0.35">
      <c r="D11" s="131" t="s">
        <v>143</v>
      </c>
      <c r="E11" s="16">
        <v>65</v>
      </c>
      <c r="F11" s="16">
        <v>51</v>
      </c>
      <c r="G11" s="16">
        <v>98</v>
      </c>
      <c r="H11" s="16">
        <v>98</v>
      </c>
      <c r="I11" s="16">
        <v>70</v>
      </c>
      <c r="J11" s="16">
        <f>SUM(E11:I11)</f>
        <v>382</v>
      </c>
    </row>
    <row r="12" spans="4:10" x14ac:dyDescent="0.35">
      <c r="D12" s="131" t="s">
        <v>442</v>
      </c>
      <c r="E12" s="16">
        <v>69</v>
      </c>
      <c r="F12" s="16">
        <v>61</v>
      </c>
      <c r="G12" s="16">
        <v>85</v>
      </c>
      <c r="H12" s="16">
        <v>85</v>
      </c>
      <c r="I12" s="16">
        <v>55</v>
      </c>
      <c r="J12" s="16">
        <f t="shared" ref="J12:J28" si="0">SUM(E12:I12)</f>
        <v>355</v>
      </c>
    </row>
    <row r="13" spans="4:10" x14ac:dyDescent="0.35">
      <c r="D13" s="131" t="s">
        <v>443</v>
      </c>
      <c r="E13" s="16">
        <v>54</v>
      </c>
      <c r="F13" s="16">
        <v>85</v>
      </c>
      <c r="G13" s="16">
        <v>94</v>
      </c>
      <c r="H13" s="16">
        <v>81</v>
      </c>
      <c r="I13" s="16">
        <v>50</v>
      </c>
      <c r="J13" s="16">
        <f t="shared" si="0"/>
        <v>364</v>
      </c>
    </row>
    <row r="14" spans="4:10" x14ac:dyDescent="0.35">
      <c r="D14" s="131" t="s">
        <v>444</v>
      </c>
      <c r="E14" s="16">
        <v>92</v>
      </c>
      <c r="F14" s="16">
        <v>58</v>
      </c>
      <c r="G14" s="16">
        <v>67</v>
      </c>
      <c r="H14" s="16">
        <v>53</v>
      </c>
      <c r="I14" s="16">
        <v>62</v>
      </c>
      <c r="J14" s="16">
        <f t="shared" si="0"/>
        <v>332</v>
      </c>
    </row>
    <row r="15" spans="4:10" x14ac:dyDescent="0.35">
      <c r="D15" s="131" t="s">
        <v>445</v>
      </c>
      <c r="E15" s="16">
        <v>75</v>
      </c>
      <c r="F15" s="16">
        <v>59</v>
      </c>
      <c r="G15" s="16">
        <v>53</v>
      </c>
      <c r="H15" s="16">
        <v>95</v>
      </c>
      <c r="I15" s="16">
        <v>96</v>
      </c>
      <c r="J15" s="16">
        <f t="shared" si="0"/>
        <v>378</v>
      </c>
    </row>
    <row r="16" spans="4:10" x14ac:dyDescent="0.35">
      <c r="D16" s="131" t="s">
        <v>446</v>
      </c>
      <c r="E16" s="16">
        <v>49</v>
      </c>
      <c r="F16" s="16">
        <v>47</v>
      </c>
      <c r="G16" s="16">
        <v>92</v>
      </c>
      <c r="H16" s="16">
        <v>57</v>
      </c>
      <c r="I16" s="16">
        <v>90</v>
      </c>
      <c r="J16" s="16">
        <f t="shared" si="0"/>
        <v>335</v>
      </c>
    </row>
    <row r="17" spans="4:10" x14ac:dyDescent="0.35">
      <c r="D17" s="131" t="s">
        <v>447</v>
      </c>
      <c r="E17" s="16">
        <v>86</v>
      </c>
      <c r="F17" s="16">
        <v>71</v>
      </c>
      <c r="G17" s="16">
        <v>77</v>
      </c>
      <c r="H17" s="16">
        <v>62</v>
      </c>
      <c r="I17" s="16">
        <v>74</v>
      </c>
      <c r="J17" s="16">
        <f t="shared" si="0"/>
        <v>370</v>
      </c>
    </row>
    <row r="18" spans="4:10" x14ac:dyDescent="0.35">
      <c r="D18" s="131" t="s">
        <v>448</v>
      </c>
      <c r="E18" s="16">
        <v>98</v>
      </c>
      <c r="F18" s="16">
        <v>67</v>
      </c>
      <c r="G18" s="16">
        <v>47</v>
      </c>
      <c r="H18" s="16">
        <v>73</v>
      </c>
      <c r="I18" s="16">
        <v>54</v>
      </c>
      <c r="J18" s="16">
        <f t="shared" si="0"/>
        <v>339</v>
      </c>
    </row>
    <row r="19" spans="4:10" x14ac:dyDescent="0.35">
      <c r="D19" s="131" t="s">
        <v>449</v>
      </c>
      <c r="E19" s="16">
        <v>50</v>
      </c>
      <c r="F19" s="16">
        <v>62</v>
      </c>
      <c r="G19" s="16">
        <v>94</v>
      </c>
      <c r="H19" s="16">
        <v>46</v>
      </c>
      <c r="I19" s="16">
        <v>84</v>
      </c>
      <c r="J19" s="16">
        <f t="shared" si="0"/>
        <v>336</v>
      </c>
    </row>
    <row r="20" spans="4:10" x14ac:dyDescent="0.35">
      <c r="D20" s="131" t="s">
        <v>450</v>
      </c>
      <c r="E20" s="16">
        <v>60</v>
      </c>
      <c r="F20" s="16">
        <v>57</v>
      </c>
      <c r="G20" s="16">
        <v>87</v>
      </c>
      <c r="H20" s="16">
        <v>66</v>
      </c>
      <c r="I20" s="16">
        <v>97</v>
      </c>
      <c r="J20" s="16">
        <f t="shared" si="0"/>
        <v>367</v>
      </c>
    </row>
    <row r="21" spans="4:10" x14ac:dyDescent="0.35">
      <c r="D21" s="131" t="s">
        <v>451</v>
      </c>
      <c r="E21" s="16">
        <v>48</v>
      </c>
      <c r="F21" s="16">
        <v>92</v>
      </c>
      <c r="G21" s="16">
        <v>75</v>
      </c>
      <c r="H21" s="16">
        <v>70</v>
      </c>
      <c r="I21" s="16">
        <v>94</v>
      </c>
      <c r="J21" s="16">
        <f t="shared" si="0"/>
        <v>379</v>
      </c>
    </row>
    <row r="22" spans="4:10" x14ac:dyDescent="0.35">
      <c r="D22" s="131" t="s">
        <v>452</v>
      </c>
      <c r="E22" s="16">
        <v>94</v>
      </c>
      <c r="F22" s="16">
        <v>76</v>
      </c>
      <c r="G22" s="16">
        <v>86</v>
      </c>
      <c r="H22" s="16">
        <v>96</v>
      </c>
      <c r="I22" s="16">
        <v>86</v>
      </c>
      <c r="J22" s="16">
        <f t="shared" si="0"/>
        <v>438</v>
      </c>
    </row>
    <row r="23" spans="4:10" x14ac:dyDescent="0.35">
      <c r="D23" s="131" t="s">
        <v>143</v>
      </c>
      <c r="E23" s="16">
        <v>92</v>
      </c>
      <c r="F23" s="16">
        <v>92</v>
      </c>
      <c r="G23" s="16">
        <v>60</v>
      </c>
      <c r="H23" s="16">
        <v>84</v>
      </c>
      <c r="I23" s="16">
        <v>77</v>
      </c>
      <c r="J23" s="16">
        <f t="shared" si="0"/>
        <v>405</v>
      </c>
    </row>
    <row r="24" spans="4:10" x14ac:dyDescent="0.35">
      <c r="D24" s="131" t="s">
        <v>442</v>
      </c>
      <c r="E24" s="16">
        <v>50</v>
      </c>
      <c r="F24" s="16">
        <v>63</v>
      </c>
      <c r="G24" s="16">
        <v>46</v>
      </c>
      <c r="H24" s="16">
        <v>65</v>
      </c>
      <c r="I24" s="16">
        <v>98</v>
      </c>
      <c r="J24" s="16">
        <f t="shared" si="0"/>
        <v>322</v>
      </c>
    </row>
    <row r="25" spans="4:10" x14ac:dyDescent="0.35">
      <c r="D25" s="131" t="s">
        <v>443</v>
      </c>
      <c r="E25" s="16">
        <v>79</v>
      </c>
      <c r="F25" s="16">
        <v>53</v>
      </c>
      <c r="G25" s="16">
        <v>67</v>
      </c>
      <c r="H25" s="16">
        <v>61</v>
      </c>
      <c r="I25" s="16">
        <v>84</v>
      </c>
      <c r="J25" s="16">
        <f t="shared" si="0"/>
        <v>344</v>
      </c>
    </row>
    <row r="26" spans="4:10" x14ac:dyDescent="0.35">
      <c r="D26" s="131" t="s">
        <v>444</v>
      </c>
      <c r="E26" s="16">
        <v>80</v>
      </c>
      <c r="F26" s="16">
        <v>90</v>
      </c>
      <c r="G26" s="16">
        <v>73</v>
      </c>
      <c r="H26" s="16">
        <v>83</v>
      </c>
      <c r="I26" s="16">
        <v>76</v>
      </c>
      <c r="J26" s="16">
        <f t="shared" si="0"/>
        <v>402</v>
      </c>
    </row>
    <row r="27" spans="4:10" x14ac:dyDescent="0.35">
      <c r="D27" s="131" t="s">
        <v>445</v>
      </c>
      <c r="E27" s="16">
        <v>88</v>
      </c>
      <c r="F27" s="16">
        <v>91</v>
      </c>
      <c r="G27" s="16">
        <v>81</v>
      </c>
      <c r="H27" s="16">
        <v>66</v>
      </c>
      <c r="I27" s="16">
        <v>68</v>
      </c>
      <c r="J27" s="16">
        <f t="shared" si="0"/>
        <v>394</v>
      </c>
    </row>
    <row r="28" spans="4:10" x14ac:dyDescent="0.35">
      <c r="D28" s="131" t="s">
        <v>446</v>
      </c>
      <c r="E28" s="16">
        <v>45</v>
      </c>
      <c r="F28" s="16">
        <v>60</v>
      </c>
      <c r="G28" s="16">
        <v>74</v>
      </c>
      <c r="H28" s="16">
        <v>94</v>
      </c>
      <c r="I28" s="16">
        <v>59</v>
      </c>
      <c r="J28" s="16">
        <f t="shared" si="0"/>
        <v>332</v>
      </c>
    </row>
  </sheetData>
  <phoneticPr fontId="29" type="noConversion"/>
  <conditionalFormatting sqref="E11:J28">
    <cfRule type="expression" dxfId="0" priority="1">
      <formula>ROW()=CELL("ROW")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E35E2-38B1-45D5-96A4-17479669FB43}">
  <sheetPr codeName="Sheet18">
    <tabColor rgb="FFFF0000"/>
  </sheetPr>
  <dimension ref="D5:E17"/>
  <sheetViews>
    <sheetView workbookViewId="0">
      <selection activeCell="L6" sqref="L6"/>
    </sheetView>
  </sheetViews>
  <sheetFormatPr defaultRowHeight="14.5" x14ac:dyDescent="0.35"/>
  <cols>
    <col min="4" max="4" width="21.1796875" bestFit="1" customWidth="1"/>
  </cols>
  <sheetData>
    <row r="5" spans="4:5" ht="18.5" x14ac:dyDescent="0.45">
      <c r="D5" s="132" t="s">
        <v>453</v>
      </c>
      <c r="E5" s="132" t="s">
        <v>454</v>
      </c>
    </row>
    <row r="6" spans="4:5" ht="23.5" x14ac:dyDescent="0.55000000000000004">
      <c r="D6" s="133" t="s">
        <v>143</v>
      </c>
      <c r="E6" s="134">
        <v>70</v>
      </c>
    </row>
    <row r="7" spans="4:5" ht="23.5" x14ac:dyDescent="0.55000000000000004">
      <c r="D7" s="133" t="s">
        <v>442</v>
      </c>
      <c r="E7" s="134">
        <v>34</v>
      </c>
    </row>
    <row r="8" spans="4:5" ht="23.5" x14ac:dyDescent="0.55000000000000004">
      <c r="D8" s="133" t="s">
        <v>443</v>
      </c>
      <c r="E8" s="134">
        <v>34</v>
      </c>
    </row>
    <row r="9" spans="4:5" ht="23.5" x14ac:dyDescent="0.55000000000000004">
      <c r="D9" s="133" t="s">
        <v>444</v>
      </c>
      <c r="E9" s="134">
        <v>56</v>
      </c>
    </row>
    <row r="10" spans="4:5" ht="23.5" x14ac:dyDescent="0.55000000000000004">
      <c r="D10" s="133" t="s">
        <v>445</v>
      </c>
      <c r="E10" s="134">
        <v>23</v>
      </c>
    </row>
    <row r="11" spans="4:5" ht="23.5" x14ac:dyDescent="0.55000000000000004">
      <c r="D11" s="133" t="s">
        <v>446</v>
      </c>
      <c r="E11" s="134">
        <v>76</v>
      </c>
    </row>
    <row r="12" spans="4:5" ht="23.5" x14ac:dyDescent="0.55000000000000004">
      <c r="D12" s="133" t="s">
        <v>447</v>
      </c>
      <c r="E12" s="134">
        <v>57</v>
      </c>
    </row>
    <row r="13" spans="4:5" ht="23.5" x14ac:dyDescent="0.55000000000000004">
      <c r="D13" s="133" t="s">
        <v>448</v>
      </c>
      <c r="E13" s="134">
        <v>23</v>
      </c>
    </row>
    <row r="14" spans="4:5" ht="23.5" x14ac:dyDescent="0.55000000000000004">
      <c r="D14" s="133" t="s">
        <v>449</v>
      </c>
      <c r="E14" s="134">
        <v>43</v>
      </c>
    </row>
    <row r="15" spans="4:5" ht="23.5" x14ac:dyDescent="0.55000000000000004">
      <c r="D15" s="133" t="s">
        <v>450</v>
      </c>
      <c r="E15" s="134">
        <v>12</v>
      </c>
    </row>
    <row r="16" spans="4:5" ht="23.5" x14ac:dyDescent="0.55000000000000004">
      <c r="D16" s="133" t="s">
        <v>451</v>
      </c>
      <c r="E16" s="134">
        <v>54</v>
      </c>
    </row>
    <row r="17" spans="4:5" ht="23.5" x14ac:dyDescent="0.55000000000000004">
      <c r="D17" s="133" t="s">
        <v>452</v>
      </c>
      <c r="E17" s="134">
        <v>78</v>
      </c>
    </row>
  </sheetData>
  <phoneticPr fontId="2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INDEX FOR ALL SHEETS</vt:lpstr>
      <vt:lpstr>Excel Formula</vt:lpstr>
      <vt:lpstr>COMPARTMENT</vt:lpstr>
      <vt:lpstr>AVERAGE FORMULA</vt:lpstr>
      <vt:lpstr>FORCAST &amp; INDEX</vt:lpstr>
      <vt:lpstr>DATA BASE FUNCTION'S</vt:lpstr>
      <vt:lpstr>EMI FORMULA</vt:lpstr>
      <vt:lpstr>LOOKUP &amp; MATCH FORMULA'S</vt:lpstr>
      <vt:lpstr>VLOOKUP &amp; MATCH MIX</vt:lpstr>
      <vt:lpstr>INCENTIVE</vt:lpstr>
      <vt:lpstr>SEARCH FORMULA IF &amp; VLOOKUP</vt:lpstr>
      <vt:lpstr>AGE COUNT FORMULA</vt:lpstr>
      <vt:lpstr>ATTENDANCE SHEET &amp; SALARY SHEET</vt:lpstr>
      <vt:lpstr>SALARY SLIP</vt:lpstr>
      <vt:lpstr>ELECTRICITY BILL</vt:lpstr>
      <vt:lpstr>XLOOKUP AND USE</vt:lpstr>
      <vt:lpstr>FWC</vt:lpstr>
      <vt:lpstr>CELL STYLES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</dc:creator>
  <cp:lastModifiedBy>Ajay Singh</cp:lastModifiedBy>
  <cp:lastPrinted>2025-05-01T09:13:19Z</cp:lastPrinted>
  <dcterms:created xsi:type="dcterms:W3CDTF">2022-10-03T13:58:32Z</dcterms:created>
  <dcterms:modified xsi:type="dcterms:W3CDTF">2026-04-13T10:13:16Z</dcterms:modified>
</cp:coreProperties>
</file>